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lacounty-my.sharepoint.com/personal/sharon_harada_probation_lacounty_gov/Documents/"/>
    </mc:Choice>
  </mc:AlternateContent>
  <xr:revisionPtr revIDLastSave="0" documentId="8_{292CC4FB-18F7-40E9-8548-8725F537E2A0}"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<sst xmlns="http://schemas.openxmlformats.org/spreadsheetml/2006/main" count="2478" uniqueCount="1001">
  <si>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</si>
  <si>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</si>
  <si>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</si>
  <si>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</si>
  <si>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</si>
  <si>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</si>
  <si>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</si>
  <si>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</si>
  <si>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</si>
  <si>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</si>
  <si>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</si>
  <si>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</si>
  <si>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</si>
  <si>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</si>
  <si>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</si>
  <si>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</si>
  <si>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</si>
  <si>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</si>
  <si>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</si>
  <si>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</si>
  <si>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</si>
  <si>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</si>
  <si>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</si>
  <si>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</si>
  <si>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</si>
  <si>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</si>
  <si>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</si>
  <si>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</si>
  <si>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</si>
  <si>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</si>
  <si>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</si>
  <si>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</si>
  <si>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</si>
  <si>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</si>
  <si>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</si>
  <si>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</si>
  <si>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</si>
  <si>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</si>
  <si>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</si>
  <si>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</si>
  <si>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</si>
  <si>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</si>
  <si>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</si>
  <si>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</si>
  <si>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</si>
  <si>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</si>
  <si>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</si>
  <si>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</si>
  <si>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</si>
  <si>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</si>
  <si>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</si>
  <si>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</si>
  <si>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</si>
  <si>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</si>
  <si>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</si>
  <si>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</si>
  <si>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</si>
  <si>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</si>
  <si>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</si>
  <si>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</si>
  <si>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</si>
  <si>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</si>
  <si>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</si>
  <si>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</si>
  <si>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</si>
  <si>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</si>
  <si>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</si>
  <si>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</si>
  <si>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</si>
  <si>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</si>
  <si>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</si>
  <si>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</si>
  <si>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</si>
  <si>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</si>
  <si>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</si>
  <si>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</si>
  <si>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</si>
  <si>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</si>
  <si>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</si>
  <si>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</si>
  <si>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</si>
  <si>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</si>
  <si>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</si>
  <si>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</si>
  <si>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</si>
  <si>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</si>
  <si>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</si>
  <si>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</si>
  <si>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</si>
  <si>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</si>
  <si>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</si>
  <si>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</si>
  <si>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</si>
  <si>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</si>
  <si>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</si>
  <si>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</si>
  <si>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</si>
  <si>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</si>
  <si>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</si>
  <si>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</si>
  <si>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</si>
  <si>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</si>
  <si>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</si>
  <si>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</si>
  <si>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</si>
  <si>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</si>
  <si>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</si>
  <si>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</si>
  <si>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</si>
  <si>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</si>
  <si>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</si>
  <si>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</si>
  <si>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</si>
  <si>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</si>
  <si>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</si>
  <si>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</si>
  <si>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</si>
  <si>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</si>
  <si>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</si>
  <si>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</si>
  <si>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</si>
  <si>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</si>
  <si>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</si>
  <si>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</si>
  <si>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</si>
  <si>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</si>
  <si>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</si>
  <si>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</si>
  <si>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</si>
  <si>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</si>
  <si>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</si>
  <si>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</si>
  <si>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</si>
  <si>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</si>
  <si>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</si>
  <si>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</si>
  <si>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</si>
  <si>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</si>
  <si>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</si>
  <si>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</si>
  <si>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</si>
  <si>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</si>
  <si>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</si>
  <si>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</si>
  <si>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</si>
  <si>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</si>
  <si>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</si>
  <si>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</si>
  <si>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</si>
  <si>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</si>
  <si>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</si>
  <si>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</si>
  <si>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</si>
  <si>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</si>
  <si>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</si>
  <si>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</si>
  <si>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</si>
  <si>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</si>
  <si>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</si>
  <si>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</si>
  <si>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</si>
  <si>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</si>
  <si>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</si>
  <si>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</si>
  <si>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</si>
  <si>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</si>
  <si>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</si>
  <si>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</si>
  <si>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</si>
  <si>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</si>
  <si>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</si>
  <si>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</si>
  <si>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</si>
  <si>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</si>
  <si>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</si>
  <si>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</si>
  <si>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</si>
  <si>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</si>
  <si>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</si>
  <si>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</si>
  <si>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</si>
  <si>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</si>
  <si>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</si>
  <si>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</si>
  <si>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</si>
  <si>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</si>
  <si>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</si>
  <si>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</si>
  <si>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</si>
  <si>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</si>
  <si>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</si>
  <si>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</si>
  <si>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</si>
  <si>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</si>
  <si>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</si>
  <si>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</si>
  <si>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</si>
  <si>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</si>
  <si>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</si>
  <si>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</si>
  <si>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</si>
  <si>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</si>
  <si>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</si>
  <si>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</si>
  <si>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</si>
  <si>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</si>
  <si>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</si>
  <si>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</si>
  <si>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</si>
  <si>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</si>
  <si>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</si>
  <si>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</si>
  <si>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</si>
  <si>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</si>
  <si>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</si>
  <si>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</si>
  <si>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</si>
  <si>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</si>
  <si>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</si>
  <si>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</si>
  <si>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</si>
  <si>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</si>
  <si>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</si>
  <si>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</si>
  <si>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</si>
  <si>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</si>
  <si>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</si>
  <si>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</si>
  <si>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</si>
  <si>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</si>
  <si>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</si>
  <si>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</si>
  <si>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</si>
  <si>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</si>
  <si>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</si>
  <si>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</si>
  <si>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</si>
  <si>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</si>
  <si>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</si>
  <si>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</si>
  <si>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</si>
  <si>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</si>
  <si>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</si>
  <si>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</si>
  <si>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</si>
  <si>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</si>
  <si>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</si>
  <si>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</si>
  <si>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</si>
  <si>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</si>
  <si>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</si>
  <si>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</si>
  <si>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</si>
  <si>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</si>
  <si>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</si>
  <si>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</si>
  <si>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</si>
  <si>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</si>
  <si>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</si>
  <si>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</si>
  <si>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</si>
  <si>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</si>
  <si>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</si>
  <si>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</si>
  <si>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</si>
  <si>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</si>
  <si>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</si>
  <si>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</si>
  <si>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</si>
  <si>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</si>
  <si>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</si>
  <si>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</si>
  <si>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</si>
  <si>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</si>
  <si>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</si>
  <si>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</si>
  <si>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</si>
  <si>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</si>
  <si>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</si>
  <si>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</si>
  <si>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</si>
  <si>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</si>
  <si>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</si>
  <si>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</si>
  <si>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</si>
  <si>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</si>
  <si>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</si>
  <si>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</si>
  <si>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</si>
  <si>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</si>
  <si>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</si>
  <si>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</si>
  <si>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</si>
  <si>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</si>
  <si>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</si>
  <si>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</si>
  <si>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</si>
  <si>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</si>
  <si>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</si>
  <si>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</si>
  <si>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</si>
  <si>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</si>
  <si>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</si>
  <si>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</si>
  <si>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</si>
  <si>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</si>
  <si>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</si>
  <si>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</si>
  <si>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</si>
  <si>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</si>
  <si>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</si>
  <si>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</si>
  <si>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</si>
  <si>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</si>
  <si>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</si>
  <si>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</si>
  <si>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</si>
  <si>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</si>
  <si>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</si>
  <si>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</si>
  <si>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</si>
  <si>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</si>
  <si>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</si>
  <si>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</si>
  <si>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</si>
  <si>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</si>
  <si>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</si>
  <si>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</si>
  <si>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</si>
  <si>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</si>
  <si>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</si>
  <si>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</si>
  <si>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</si>
  <si>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</si>
  <si>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</si>
  <si>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</si>
  <si>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</si>
  <si>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</si>
  <si>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</si>
  <si>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</si>
  <si>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</si>
  <si>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</si>
  <si>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</si>
  <si>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</si>
  <si>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</si>
  <si>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</si>
  <si>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</si>
  <si>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</si>
  <si>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</si>
  <si>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</si>
  <si>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</si>
  <si>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</si>
  <si>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</si>
  <si>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</si>
  <si>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</si>
  <si>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</si>
  <si>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</si>
  <si>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</si>
  <si>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</si>
  <si>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</si>
  <si>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</si>
  <si>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</si>
  <si>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</si>
  <si>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</si>
  <si>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</si>
  <si>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</si>
  <si>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</si>
  <si>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</si>
  <si>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</si>
  <si>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</si>
  <si>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</si>
  <si>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</si>
  <si>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</si>
  <si>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</si>
  <si>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</si>
  <si>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</si>
  <si>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</si>
  <si>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</si>
  <si>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</si>
  <si>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</si>
  <si>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</si>
  <si>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</si>
  <si>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</si>
  <si>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</si>
  <si>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</si>
  <si>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</si>
  <si>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</si>
  <si>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</si>
  <si>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</si>
  <si>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</si>
  <si>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</si>
  <si>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</si>
  <si>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</si>
  <si>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</si>
  <si>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</si>
  <si>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</si>
  <si>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</si>
  <si>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</si>
  <si>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</si>
  <si>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</si>
  <si>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</si>
  <si>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</si>
  <si>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</si>
  <si>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</si>
  <si>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</si>
  <si>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</si>
  <si>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</si>
  <si>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</si>
  <si>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</si>
  <si>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</si>
  <si>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</si>
  <si>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</si>
  <si>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</si>
  <si>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</si>
  <si>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</si>
  <si>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</si>
  <si>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</si>
  <si>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</si>
  <si>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</si>
  <si>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</si>
  <si>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</si>
  <si>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</si>
  <si>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</si>
  <si>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</si>
  <si>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</si>
  <si>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</si>
  <si>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</si>
  <si>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</si>
  <si>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</si>
  <si>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</si>
  <si>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</si>
  <si>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</si>
  <si>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</si>
  <si>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</si>
  <si>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</si>
  <si>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</si>
  <si>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</si>
  <si>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</si>
  <si>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</si>
  <si>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</si>
  <si>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</si>
  <si>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</si>
  <si>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</si>
  <si>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</si>
  <si>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</si>
  <si>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</si>
  <si>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</si>
  <si>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</si>
  <si>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</si>
  <si>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</si>
  <si>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</si>
  <si>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</si>
  <si>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</si>
  <si>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</si>
  <si>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</si>
  <si>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</si>
  <si>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</si>
  <si>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</si>
  <si>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</si>
  <si>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</si>
  <si>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</si>
  <si>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</si>
  <si>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</si>
  <si>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</si>
  <si>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</si>
  <si>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</si>
  <si>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</si>
  <si>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</si>
  <si>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</si>
  <si>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</si>
  <si>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</si>
  <si>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</si>
  <si>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</si>
  <si>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</si>
  <si>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</si>
  <si>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</si>
  <si>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</si>
  <si>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</si>
  <si>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</si>
  <si>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</si>
  <si>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</si>
  <si>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</si>
  <si>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</si>
  <si>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</si>
  <si>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</si>
  <si>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</si>
  <si>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</si>
  <si>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</si>
  <si>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</si>
  <si>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</si>
  <si>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</si>
  <si>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</si>
  <si>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</si>
  <si>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</si>
  <si>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</si>
  <si>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</si>
  <si>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</si>
  <si>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</si>
  <si>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</si>
  <si>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</si>
  <si>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</si>
  <si>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</si>
  <si>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</si>
  <si>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</si>
  <si>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</si>
  <si>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</si>
  <si>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</si>
  <si>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</si>
  <si>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</si>
  <si>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</si>
  <si>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</si>
  <si>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</si>
  <si>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</si>
  <si>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</si>
  <si>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</si>
  <si>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</si>
  <si>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</si>
  <si>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</si>
  <si>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</si>
  <si>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</si>
  <si>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</si>
  <si>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</si>
  <si>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</si>
  <si>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</si>
  <si>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</si>
  <si>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</si>
  <si>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</si>
  <si>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</si>
  <si>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</si>
  <si>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</si>
  <si>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</si>
  <si>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</si>
  <si>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</si>
  <si>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</si>
  <si>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</si>
  <si>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</si>
  <si>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</si>
  <si>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</si>
  <si>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</si>
  <si>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</si>
  <si>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</si>
  <si>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</si>
  <si>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</si>
  <si>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</si>
  <si>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</si>
  <si>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</si>
  <si>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</si>
  <si>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</si>
  <si>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</si>
  <si>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</si>
  <si>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</si>
  <si>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</si>
  <si>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</si>
  <si>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</si>
  <si>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</si>
  <si>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</si>
  <si>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</si>
  <si>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</si>
  <si>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</si>
  <si>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</si>
  <si>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</si>
  <si>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</si>
  <si>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</si>
  <si>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</si>
  <si>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</si>
  <si>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</si>
  <si>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</si>
  <si>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</si>
  <si>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</si>
  <si>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</si>
  <si>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</si>
  <si>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</si>
  <si>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</si>
  <si>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</si>
  <si>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</si>
  <si>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</si>
  <si>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</si>
  <si>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</si>
  <si>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</si>
  <si>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</si>
  <si>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</si>
  <si>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</si>
  <si>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</si>
  <si>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</si>
  <si>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</si>
  <si>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</si>
  <si>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</si>
  <si>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</si>
  <si>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</si>
  <si>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</si>
  <si>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</si>
  <si>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</si>
  <si>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</si>
  <si>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</si>
  <si>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</si>
  <si>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</si>
  <si>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</si>
  <si>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</si>
  <si>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</si>
  <si>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</si>
  <si>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</si>
  <si>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</si>
  <si>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</si>
  <si>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</si>
  <si>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</si>
  <si>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</si>
  <si>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</si>
  <si>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</si>
  <si>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</si>
  <si>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</si>
  <si>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</si>
  <si>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</si>
  <si>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</si>
  <si>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</si>
  <si>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</si>
  <si>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</si>
  <si>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</si>
  <si>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</si>
  <si>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</si>
  <si>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</si>
  <si>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</si>
  <si>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</si>
  <si>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</si>
  <si>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</si>
  <si>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</si>
  <si>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</si>
  <si>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</si>
  <si>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</si>
  <si>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</si>
  <si>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</si>
  <si>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</si>
  <si>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</si>
  <si>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</si>
  <si>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</si>
  <si>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</si>
  <si>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</si>
  <si>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</si>
  <si>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</si>
  <si>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</si>
  <si>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</si>
  <si>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</si>
  <si>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</si>
  <si>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</si>
  <si>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</si>
  <si>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</si>
  <si>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</si>
  <si>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</si>
  <si>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</si>
  <si>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</si>
  <si>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</si>
  <si>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</si>
  <si>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</si>
  <si>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</si>
  <si>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</si>
  <si>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</si>
  <si>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</si>
  <si>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</si>
  <si>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</si>
  <si>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</si>
  <si>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</si>
  <si>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</si>
  <si>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</si>
  <si>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</si>
  <si>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</si>
  <si>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</si>
  <si>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</si>
  <si>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</si>
  <si>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</si>
  <si>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</si>
  <si>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</si>
  <si>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</si>
  <si>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</si>
  <si>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</si>
  <si>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</si>
  <si>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</si>
  <si>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</si>
  <si>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</si>
  <si>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</si>
  <si>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</si>
  <si>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</si>
  <si>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</si>
  <si>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</si>
  <si>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</si>
  <si>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</si>
  <si>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</si>
  <si>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</si>
  <si>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</si>
  <si>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</si>
  <si>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</si>
  <si>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</si>
  <si>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</si>
  <si>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</si>
  <si>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</si>
  <si>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</si>
  <si>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</si>
  <si>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</si>
  <si>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</si>
  <si>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</si>
  <si>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</si>
  <si>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</si>
  <si>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</si>
  <si>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</si>
  <si>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</si>
  <si>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</si>
  <si>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</si>
  <si>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</si>
  <si>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</si>
  <si>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</si>
  <si>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</si>
  <si>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</si>
  <si>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</si>
  <si>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</si>
  <si>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</si>
  <si>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</si>
  <si>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</si>
  <si>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</si>
  <si>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</si>
  <si>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</si>
  <si>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</si>
  <si>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</si>
  <si>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</si>
  <si>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</si>
  <si>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</si>
  <si>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</si>
  <si>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</si>
  <si>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</si>
  <si>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</si>
  <si>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</si>
  <si>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</si>
  <si>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</si>
  <si>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</si>
  <si>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</si>
  <si>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</si>
  <si>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</si>
  <si>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</si>
  <si>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</si>
  <si>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</si>
  <si>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</si>
  <si>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</si>
  <si>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</si>
  <si>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</si>
  <si>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</si>
  <si>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</si>
  <si>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</si>
  <si>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</si>
  <si>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</si>
  <si>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</si>
  <si>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</si>
  <si>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</si>
  <si>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</si>
  <si>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</si>
  <si>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</si>
  <si>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</si>
  <si>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</si>
  <si>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</si>
  <si>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</si>
  <si>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</si>
  <si>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</si>
  <si>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</si>
  <si>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</si>
  <si>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</si>
  <si>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</si>
  <si>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</si>
  <si>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</si>
  <si>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</si>
  <si>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</si>
  <si>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</si>
  <si>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</si>
  <si>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</si>
  <si>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</si>
  <si>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</si>
  <si>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</si>
  <si>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</si>
  <si>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</si>
  <si>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</si>
  <si>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</si>
  <si>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</si>
  <si>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</si>
  <si>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</si>
  <si>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</si>
  <si>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</si>
  <si>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</si>
  <si>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</si>
  <si>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</si>
  <si>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</si>
  <si>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</si>
  <si>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</si>
  <si>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</si>
  <si>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</si>
  <si>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</si>
  <si>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</si>
  <si>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</si>
  <si>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</si>
  <si>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</si>
  <si>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</si>
  <si>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</si>
  <si>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</si>
  <si>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</si>
  <si>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</si>
  <si>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</si>
  <si>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</si>
  <si>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</si>
  <si>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</si>
  <si>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</si>
  <si>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</si>
  <si>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</si>
  <si>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</si>
  <si>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</si>
  <si>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</si>
  <si>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</si>
  <si>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</si>
  <si>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</si>
  <si>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</si>
  <si>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</si>
  <si>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</si>
  <si>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</si>
  <si>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</si>
  <si>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</si>
  <si>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</si>
  <si>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</si>
  <si>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</si>
  <si>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</si>
  <si>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</si>
  <si>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</si>
  <si>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</si>
  <si>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</si>
  <si>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</si>
  <si>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</si>
  <si>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</si>
  <si>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</si>
  <si>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</si>
  <si>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</si>
  <si>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</si>
  <si>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</si>
  <si>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</si>
  <si>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</si>
  <si>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</si>
  <si>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</si>
  <si>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</si>
  <si>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</si>
  <si>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</si>
  <si>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</si>
  <si>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</si>
  <si>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</si>
  <si>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</si>
  <si>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</si>
  <si>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</si>
  <si>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</si>
  <si>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</si>
  <si>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</si>
  <si>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</si>
  <si>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</si>
  <si>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</si>
  <si>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</si>
  <si>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</si>
  <si>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</si>
  <si>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</si>
  <si>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</si>
  <si>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</si>
  <si>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</si>
  <si>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</si>
  <si>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</si>
  <si>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</si>
  <si>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</si>
  <si>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</si>
  <si>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</si>
  <si>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</si>
  <si>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</si>
  <si>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</si>
  <si>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</si>
  <si>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</si>
  <si>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</si>
  <si>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</si>
  <si>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</si>
  <si>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</si>
  <si>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</si>
  <si>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</si>
  <si>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</si>
  <si>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</si>
  <si>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</si>
  <si>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</si>
  <si>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</si>
  <si>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</si>
  <si>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</si>
  <si>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</si>
  <si>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</si>
  <si>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</si>
  <si>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</si>
  <si>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</si>
  <si>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</si>
  <si>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</si>
  <si>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</si>
  <si>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</si>
  <si>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</si>
  <si>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</si>
  <si>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</si>
  <si>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</si>
  <si>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</si>
  <si>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</si>
  <si>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</si>
  <si>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</si>
  <si>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</si>
  <si>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</si>
  <si>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</si>
  <si>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</si>
  <si>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</si>
  <si>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</si>
  <si>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</si>
  <si>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</si>
  <si>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</si>
  <si>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</si>
  <si>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</si>
  <si>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</si>
  <si>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</si>
  <si>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</si>
  <si>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</si>
  <si>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</si>
  <si>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</si>
  <si>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</si>
  <si>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</si>
  <si>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</si>
  <si>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</si>
  <si>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</si>
  <si>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</si>
  <si>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</si>
  <si>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</si>
  <si>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</si>
  <si>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</si>
  <si>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Sharon Harada</t>
  </si>
  <si>
    <t>Bureau Chief</t>
  </si>
  <si>
    <t>sharon.harada@probation.lacounty.gov</t>
  </si>
  <si>
    <t>Sharon Hawkins</t>
  </si>
  <si>
    <t>sharon.hawkins@probation.lacounty.gov</t>
  </si>
  <si>
    <t>Probation Director</t>
  </si>
  <si>
    <t>Camps</t>
  </si>
  <si>
    <t>Implementing Risks &amp; Needs Assessment</t>
  </si>
  <si>
    <t>Program Admin &amp; Evaluation</t>
  </si>
  <si>
    <t>Aftercare &amp; Re-entry</t>
  </si>
  <si>
    <t>Public Private Partnership (Base Funding)</t>
  </si>
  <si>
    <t>Housing Opportunities for Mentoring and Edcuation</t>
  </si>
  <si>
    <t>After-School Enrichment &amp; Supervision Programs</t>
  </si>
  <si>
    <t>Abolish Chronic Truancy (ACT) Program</t>
  </si>
  <si>
    <t>Mental Health Screening, Assessment and Treatment</t>
  </si>
  <si>
    <t>Multi-Systemic Therapy (MST) Program</t>
  </si>
  <si>
    <t>Multi-Systemic Therapy (MST) is an intensive family and community-based treatment that addresses the multiple determinants of serious antisocial behavior in juvenile offenders. The multisystemic approach views people as being embedded within a complex network of interconnected systems that encompass individual, family, and extrafamilial (peer, school, and neighborhood) factors. Intervention might be necessary in any one or a combination of these systems. Participants in the JJCPA MST program are routine probationers accepted into the program. The program integrates intervention strategies, including strategic family therapy, structural family therapy, behavioral parent training and cognitive behavior therapies, into a social-ecological context. MST is provided using a home-based model of service delivery. Services typically last 3-6 months. 
MST services comprise of Community-Based Organizations providing evidence-based, intensive family and community-based treatment that focuses on addressing all environmental systems that impact chronic and violent juvenile offenders, their homes and families, schools and teachers, neighborhoods and friends.  MST works with the toughest offenders ages 12 through 17 who have a very long history of arrests.
Consistent with social-ecological models of behavior and findings from causal modeling studies of delinquency and drug use, MST posits that multiple factors determine youth antisocial behavior, which is linked with characteristics of the individual youth and his or her family and peer group, school, and community contexts (Henggeler et al., 1998).  As such, MST interventions aim to attenuate risk factors by building youth and family strengths (protective factors) on a highly individualized and comprehensive basis.  MST practitioners are available 24 hours per day, seven days per week, and provide services in the home at times convenient to the family.  This approach attempts to circumvent barriers to service access that families of serious juvenile offenders often encounter. An emphasis on parental empowerment to modify children’s natural social network is intended to facilitate the maintenance and generalization of treatment gains (Henggeler et al., 1998). MST is one of the more well-studied interventions for justice-involved youth, and a meta-analysis of MST studies has indicated that the program has small but significant outcomes on delinquency and psychopathology, substance use, family functioning, and peer relationships (van der Stouwe et al., 2014).  In an analysis by RAND focusing on FY2016-2017, youth receiving MST were compared to those who were near misses for program participation. Youth in MST had better outcomes with respect to arrest, incarceration, completion of probation, restitution, community service and probation violation. Though differences were not statistically significant, this may reflect the small sample size in the study. School outcomes for MST youth found significantly higher attendance in the term after initiating the program than in the term before program entry.
Fain, Terry, Susan Turner, and Nima Shahidinia, Los Angeles County Juvenile Justice Crime Prevention Act: Fiscal Year 2016–2017 Report. Los Angeles County Probation Department, 2018. https://www.rand.org/pubs/research_reports/RR2401.html.</t>
  </si>
  <si>
    <t>Special Needs Court Program</t>
  </si>
  <si>
    <t>Client Assessment Rehabilitation Evaluation (CARE) - Public
 Defender</t>
  </si>
  <si>
    <t>The CARE Project provides holistic representation to youth from a collaborative team of line attorneys, resource attorneys and psychiatric social workers.  The aim of the CARE Project is to identify mental illness, intellectual, developmental, and learning disabilities, and trauma suffered by a youth. The CARE Project addresses these areas by linking the youth to appropriate treatment and monitoring the youth's progress to ensure the delivery of these services. The CARE Project goals are: · Linking clients to services that address risk factors associated with justice system involvement including mental health, education problems and disability · Improved adjudication and dispositional outcomes · Reduced recidivism.  The CARE Project outcomes include: · Clients have less subsequent contact wit the juvenile justice system · Clients obtain improved dispositional outcomes · Stronger trust and better engagement between the CARE Project staff, youth and their family · Overall better legal representation.
Line attorneys initiate CARE Project services by referring a client displaying signs of mental illness and learning and/or developmental disabilities to a CARE Project resource attorney or social worker. There are eight resource attorneys assigned to the CARE Project. The fifteen CARE Project psychiatric social workers perform in-depth interviews with the client and family, producing a comprehensive psychosocial assessment that identifies the developmental, educational and mental health needs of the youth.  During this process, school professionals, mental health representatives, dependency social workers and other community-based organization representatives are also interviewed.  Based on these assessments, an individualized treatment plan for the youth is designed and implemented to obtain the resources necessary to support the youth's specific needs and in turn, ameliorate the risk of recidivism.  The psychiatric social worker will also consult with the line attorney and resource attorney regarding linkages to services, client and family support in and out of court proceedings, advocacy at administrative hearings and recommendations for dispositional plans in difficult cases.  Over the past 16 years, the court on average adopted over 80% of the CARE Project recommendations.
In 2016, Resource Development Associates (RDA), an independent consulting firm serving government and non-profit organizations, conducted a comprehensive evaluation of the CARE Project.  The RDA evaluation found that the CARE Project was highly effective in reducing negative contacts with the juvenile system and improving dispositional outcomes for Public Defender clients.  Rabinowitz, M., McCahon, D., Garmisa, S., Ndubuiza, C., Gonzalez, S. (2017) Los Angeles County Public Defender CARE Project Evaluation Report. RDA's report cited evaluations of other holistic juvenile defense models of representation which confirmed the nexus between holistic legal services and a reduction of recidivism, see, 2018 Collins, P., and Strand, D. (2013) Team Child Evaluation Study 2012-2013; Final Report, and the improvement of representation, see, Kramer, K., (2014) Legal Advocacy Program Report. See, also, 2018 RAND Corporation Study 'Redefining Public Defense.'</t>
  </si>
  <si>
    <t>Arts in Institutions</t>
  </si>
  <si>
    <t>Enhanced School and Community Services (Growth Funding)</t>
  </si>
  <si>
    <t>Early Intervention and Diversion Program (Growth Funding)</t>
  </si>
  <si>
    <t>Expanded Programs (Growth Funding)</t>
  </si>
  <si>
    <t>New Programs (Growth Funding)</t>
  </si>
  <si>
    <t>Chief's Board Delegated Authority</t>
  </si>
  <si>
    <t>Programs Approved on 5/31/19 (Growth Funding)</t>
  </si>
  <si>
    <t>Growth Approved 2/7/20 and 8/26/20 (Growth Funding)</t>
  </si>
  <si>
    <t>LAC Youth Commission</t>
  </si>
  <si>
    <t>The purpose of the Los Angeles County Youth Commission is to better understand the impact of youth development initiatives in Los Angeles County.  The scope of their work includes the following:  making recommendations to the Board of Supervisors and Los Angeles County Departments regarding policies, agency budgets, budgetary processes, programs and practices that impact children, youth, their families and communities; proposing to the Board and County departments new policy, programs and services that will positively impact children, youth, families and their communities; annually identify at least three focus areas for concentrated review, analysis and where, appropriate, Youth Commission intervention; being consistent with Board policy, propose new legislation, advocate and provide recommendations to the Board regarding legislation impacting children, youth families and their communities; providing a quarterly report in year one, and then an annual report henceforth to the Board apprising it of the Youth Commission’s activities and achievements during the year and commenting on the state of County services impacting youth – this may include development of a “youth score card” for County departments and; consistent engagement with community and key stakeholders  
Youth advisory boards are becoming more common across the country, allowing individuals with lived experience in the juvenile justice and child welfare systems to provide input into programming and services in their jurisdictions. An environmental scan of existing practices and engagement with key stakeholders identified the following best practices for engaging young people in an advisory capacity:
-Youth-centered, -led, and -driven
-Adequate staffing
-Adequate funding
-Provision of tools for success, including trauma-informed and youth-accessible training materials
-Proactive attention to/resolution of barriers to successful engagement
-Direct access to policymakers.
The Los Angeles County Youth Commission was designed with these principles in mind.
 Source:  Los Angeles County Commission for Children and Families (2019). Report back on exploring the creation of a countywide Youth Advisory Board. http://file.lacounty.gov/SDSInter/bos/supdocs/141906.pdf
Castillo Consulting Partners (2019). LA County Youth Advisory Body Data &amp; Landscape Analysis Report. Los Angeles, CA: Author.</t>
  </si>
  <si>
    <t>School-Based Supervision Program</t>
  </si>
  <si>
    <t>The School-Based Program is at the core of this initiative and serves youth and families, in identified high-risk/high-need areas, by targeting School-Based Probation supervision and services for the population of probationers attending high schools across the County of Los Angeles.  The programs and services are designed to provide a full spectrum of community-based services.  School-Based Supervision Deputy Probation Officers provide direct supervision and services that include assessment, case management, educational advocacy, mediation (youth, family and school), mentoring, attendance (daily) and academic monitoring, family support and engagement.  The primary objective of these services is to increase the opportunity for probation youth to achieve academic success and to empower and support parents to become the primary change agent for their children.  
As indicated earlier, School-Based DPOs assess probationers with a validated assessment instrument, the LARRC (Turner, Fain, and Sehgal, Turner and Fain, 2006). The LARRC is based on the what-works research.  Further, school-based DPOs enhance strength-based training, including training in FFT and MST case management interventions.  Consistent with the what-works research, the school-based probation supervision program calls for case-management interventions that assess the probationer’s strengths and risk factors, employ strength-based case-management interventions address both risk factors and criminogenic needs, employ evidenced-based treatment interventions, provide prosocial adult modeling and advocacy, provide post probation planning with the probationer and family by the school-based DPO, and use case planning services that emphasize standards of right and wrong.
An evaluation report by Resource Development Associates (RDA) in 2018 found that although there are some implementation challenges with the School-Based Program, over half of youth experienced improvements in their strength and risk scores from baseline to six months after program start, and that youth receiving school-based probation were less likely to recidivate at 6 and 12 months compared to youth on other forms of probation, including arrests, filed petitions, and sustained petitions.  
Fain, Terry, Susan Turner, and Nima Shahidinia, Los Angeles County Juvenile Justice Crime Prevention Act: Fiscal Year 2016–2017 Report. Los Angeles County Probation Department, 2018.
Rabinowitz, M., Mayer, D., Dorsey, J., Coaquira, J., Ndubuizu, C., Ramoabi, T., &amp; Hamburg, A. (2018). Juvenile Justice Crime Prevention Act Program Effectiveness Report. Oakland, CA: Resoruce Development Associates.</t>
  </si>
  <si>
    <t>The Early Intervention Diversion Program (EIDP), a collaborative between Probation, the Department of Mental Health (DMH) and DMH contracted mental health community-based organizations, aims to connect lower level, first-time youthful offenders on probation supervision to coordinated services that support educational outcomes and improve overall well-being.  EIDP provides intensive case management and coordinated services to youth and families; services include evidence-based mental health services, substance abuse services, health benefits and educational support services.  For youth who qualify and voluntarily agree to participate in EIDP, an in-home psycho-social assessment is conducted by a contracted Department of Mental Health (DMH) community-based partner that assesses for any mental health and substance abuse needs, learning disabilities, physical health, and other family related barriers. Upon completion of the assessment, a meeting will take place to develop a case plan. The meeting will consist of program participants (youth and family members) and a Multidisciplinary Team (MDT) where goals and case specific services will be identified. Once a case plan is developed, a formal agreement will be signed by the youth and their family members. The case manager (Deputy Probation Officer) then ensures that program participants are linked to services as stipulated in the case plan within two weeks.
A recent evaluation of the program demonstrated that youth experienced a significant improvement in their GPA and decrease in unexcused absences and suspensions. Youth and guardians experienced improvements in mental health symptoms. In addition, compared to youth who did not participate in the program, EIDP participants had a lower rate of rearrests and appeared to take longer to the time of rearrest.
Development Services Group, inc. 2017.  "Division Programs." Literature Review. Washington, D.C.: Office of Juvenile Justice and Delinquency Prevention.
Los Angeles County Probation Department Systems Accountability Bureau (2019). Early Intervention Diversion Program (EIDP) Outcomes Report. Los Angeles, CA: Author.</t>
  </si>
  <si>
    <t>Growth Approved 1/14/21 (Growth Funding)</t>
  </si>
  <si>
    <t>Youth Substance Abuse Intervention Program</t>
  </si>
  <si>
    <t>Data Collection (RAND)</t>
  </si>
  <si>
    <t>Fiscal/Contract</t>
  </si>
  <si>
    <t>Programs Approved on 8/2/19 (Growth Funding)</t>
  </si>
  <si>
    <t xml:space="preserve">Probation continues to utilize an actuarial risk and needs assessment and case planning in residential treatment (camps) as implemented in the FY 2007-2008 JJDP to identify high risk/high need youth who were appropriate for YOBG, by utilizing two (2) dedicated assessment Deputy Probation Officers (DPOs) and one (1) dedicated DMH MSW at the Camp Assessment Unit (CAU).  These two-tiered assessments assist in identifying appropriate youthful offender dispositions, programs, goals and re-entry plans, and included the use of a validated and normed risk assessment instrument, the Los Angeles Risk and Resiliency Checkup (LARRC).  Assessment information is compiled by partner agencies and interested parties, at which time a Multi-Disciplinary Assessment (MDA) is conducted prior to the minor's transfer to camp. Participants in the MDA meeting include the youth, parents, Probation staff, Los Angeles County Office of Education (LACOE) personnel, and Department of Mental Health (DMH) staff. A resulting case plan is developed and approved by the youth and parents and is available for the Probation case worker upon youth arrival at Camp Onizuka.  Other assessment information (for example, MAYSI-II, STAR academic testing, DMH Substance Abuse Screening) is used to augment the LARRC when available and applicable. 
In coordination with JJCPA, the assessment and multi-disciplinary case plan are not only utilized to provide youth with appropriate services while in camp, but are updated prior to the youth's transition back to the community. The transitional case plan, which is predicated on the assessment and case planning process utilizing the Multi-Disciplinary Team (MDT) approach, is utilized to ensure targeted interventions are provided in the community, by community-based organizations that may be funded with Juvenile Justice Crime Prevention Act funds.
Additionally, the transitional case plan, which included education, is shared with the Deputy Probation Officers’ co-located on many of the school campuses who could assist with enrollment, referrals to services, and provide enhanced supervision on campus to mitigate relapse of truancy and poor academic performance.
This past year, the Department assessed and identified 302 youth, of which 18 were duplicates, that qualified for YOBG funding.   The 148 of those youth were given a disposition to camp, while 85 were given a suitable placement order the department's Dorothy Kirby Center Placement and 51 youth were ordered to the Secure Youth Track Facility as a result of Senate Bill 823, which realigned Division of Juvenile of Justice (DJJ) program back to the counties.
</t>
  </si>
  <si>
    <t>Over the past year, the after and reentry case management practices were changed to incorporate the family into case planning from the time of disposition, instead of waiting 90 days prior to release to develop a plan.  The Camp to Community Transition Program (CCTP) multi-disiciplinary team team now includes clinicians from the Department of Mental Health Juvenile Justice Transitional Services and treatment providers, such at gang intervention workers who become the youth's Family Assessment and Support Team (FAST).  The FAST is established within 14 days of a youth's disposition, and includes an initial MDT and self-administered psycho-social assessments.   This information is shared with the family for treatment purposes and an individualized case plan is established while the youth is detained with goals for the youth and family to accomplish before the youth returns to the community.   Case management may include family therapy, substance abuse, mental health, and housing services.  THe YOBG funds paid for the Probation staff that were assigned to this function, and services provided to faciitate treatment (e.g., art programs, gang reduction healing circles) were funded by JJCPA.   For the review period of July 1, 2021 until June 30, 2022, 83 youth were ordered to camp and were administered the Youth Outcome Questionnaire at six month intervals.  Youth that were "discharged," showed a 21% improvement in psycho-social functioning.</t>
  </si>
  <si>
    <t>Support Services (Base Funding)</t>
  </si>
  <si>
    <t>Vocational Training at Camps (Base Funding)</t>
  </si>
  <si>
    <t>High Risk High Needs (Base Funding)</t>
  </si>
  <si>
    <t>Mobile Tutoring Services (Base Funding)</t>
  </si>
  <si>
    <t>Public-Private-Partnerships (PPPs) are joint ventures, in which business and government cooperate; each applying its strengths to develop a project to deliver public services more quickly, more efficiently or otherwise better than a government could accomplish on its own. The Department contracted with a foundation to re-grant JJCPA funds expeditiously (they also work together with another foundation that focuses on building community capacity and sustainability). Specifically, the funded PPP is contracted to act as grant-making foundation - e.g. give grants to support development projects.
The PPP model (re-granting and capacity building) works collectively to identify gaps in services and build capacity in the community to provide supportive services to the youth and families impacted or at-risk of entering the juvenile justice system. The PPP model is expected to strengthen the non-profit CBO community to achieve desired results and sustain their efforts through training and technical assistance. 
The organization funded through this program provides funding through the Ready to Rise Initiative. Youth-serving Community-Based Organizations applied to be part of this initiative and were chosen through a robust process which included prioritizing organizations that were not current and/or lead grantees of Probation and representative of the diverse communities of Los Angeles County but may overrepresent/oversample geographies, populations and/or intervention models as defined by geography, program engagement, organizational capacity, and target population served (defined by ethnicity and circumstances of youth such as justice-involved, foster youth, homeless, low-income, LGBTQ, etc.) . 
As of February 2020, Ready to Rise collectively serves 49 organizations across two cohorts to enhance their service delivery through programmatic support. 
Programs funded through this initiative generally implement services from a positive youth development framework. As reported in a recent gap analysis published by RAND Corporation, “Positive youth development theorizes that when there is an alignment among their talents, interests, skills, and com- munity resources (e.g., school, family), young people can achieve positive developmental outcomes, includ- ing academic achievement, extracurricular activities, physical and mental health, and prosocial behaviors (Catalano et al., 2004; Dotterer, McHale, and Crouter, 2007; Fredricks and Eccles, 2010; Irvin et al., 2010).” (Whitaker et al., 2022, pg. 6). An evaluation focused on the this initiative has suggested positive outcomes associated with participation, including increases in supportive relationships, an improvement in the quality of relationships, and gains toward youth-defined goals.
LA for Youth report: “Building a Positive Future for LA's Youth: Re-imagining Public Safety of the City of Los Angeles with an Investment in Youth Development” (2016).
Whitaker, Laura, Sierra Smucker, and Stephanie Brooks Holliday, A Gap Analysis of the Los Angeles County Juvenile Justice Crime Prevention Act Portfolio. Santa Monica, CA: RAND Corporation, 2022. https://www.rand.org/pubs/research_reports/RRA1663-1.html.
Imoyase Community Support Services, Ready to Rise (R2R): Year 2 Evaluation Report. Los Angeles, CA.</t>
  </si>
  <si>
    <t xml:space="preserve">Through the Chief's Board Delegated Authority, JJCPA one-time funding was utilized for various programming including partnerships with Arts and Culture, Public Defender CARE Program and the District Attorney's Abolish Chronic Truancy Program. </t>
  </si>
  <si>
    <t>Programs Approved on 9/6/19 (Growth Funding)</t>
  </si>
  <si>
    <t>562-940-2507</t>
  </si>
  <si>
    <t>562-319-7341</t>
  </si>
  <si>
    <t xml:space="preserve">During Fiscal Year 2021-2022, juvenile crime in the County of Los Angeles appeared to significantly decrease, possibly due to the impact of COVID-19. Arrests decreased dramatically (40.1% overall) in comparison to 2020 and decreased 65.3% since 2019. This included a decrease in status arrests (99% from 2019 to 2021), but sizeable decreases in felony arrests (46.9%) and misdemeanor arrests (82.6%) as well. Decreases in arrests were observed across genders and racial/ethnic groups. The juvenile arrest rate per 100,000 juveniles in Los Angeles County also continued to fall in 2021 (focusing on youth age 11-17), the continuation of a trend that has been observed since 2010. In addition, in 2021, a greater proportion of arrests that did take place were for felonies rather than misdemeanors. This may reflect a preference to arrest youth only for more serious charges, the increased availability of County pre-arrest diversion options and the change in DA filing (misdemeanor) protocols. 
Youth placed on probation also decreased by approximately 39.8% since 2020 and almost 53.9% since 2019, though court orders to the Division of Juvenile Justice increased by 18.2% since 2020, and decreased by 53.6% since 2019.
Programs and services outlined in the County of Los Angeles' Comprehensive Multi-Agency Juvenile Justice Plan (CMJJP) may have contributed to the overall decrease, which reflects a continued trend downward over the last several years, even before the influence of COVID-19. For example, as mentioned in prior reports, historically, evaluation reports have indicated that School-Based Supervision programming has shown positive outcomes; our most recent evaluation from Resource Development Associates (RDA), completed in April 2018, included the finding that "youth receiving these services were 30-40% less likely to recidivate than the comparison group." A report by RAND Corporation, published in 2018 for the prior Fiscal Year, also reported a significant increase in percentage of school days attended after program entry, decreases in suspensions and expulsions, and lower arrests rates and higher rates of successful completion of probation. Other programs receiving JJPCA funding have also demonstrated promise; for example, a 2018 evaluation of the Early Intervention Diversion Program found that participation as associated with significantly lower rates of recidivism, after controlling for factors such as initial risk. Further evaluation of JJCPA funded programs and services is in process with the new JJCPA evaluator (whose work began in Fiscal Year 2019-2020).
The Juvenile Justice Coordinating Council (JJCC) continued its efforts to annually enhance and further align the CMJJP with the needs of the youth of Los Angeles County and desired outcomes. This includes prioritizing funding for community-based service provision, with a focus on areas with high levels of youth arrest and/or areas that are historically underserved. Substantial investments have been made in primary prevention and focused prevention/early intervention, with approximately 69.4% of direct programming funds invested in these categories of services with the goal of preventing entry into the youth justice system. Attention has been paid to several of the domains recommended for investment by RDA in their evaluation, including behavioral health services, schools/education, employment and life skills, socioemotional support, housing, parent/caregiver support, and arts and recreation. In making funding decisions, areas with higher needs and gaps in services have been prioritized. Investments have also been made in programs that allow for the diversion of youth, including the Youth Diversion and Development program, which allows for law enforcement diversion referrals. Youth diversion has been demonstrated to reduce likelihood of reoffending. Though there have been positive trends related to the overall number of arrests and youth placed on Probation, there remain disparities in the involvement of Black/African American youth in the Probation system. However, the JJCC has also formalized a commitment to addressing racial and ethnic disparities, and the current JJCPA evaluation efforts include a focus on equity-related considerations.                                                                                                                                                </t>
  </si>
  <si>
    <t>The Housing Opportunities for Mentoring and Education (HOME) program is facilitated through the County of Los Angeles Housing Authority and the City of Los Angeles Housing Authority.  The program is designed to target the risk, need and responsivity factors of youth and families by providing prevention and intervention services that are culturally competent in their social ecology.  Specifically, HOME targets youth residing in public housing between 11 and 17 years of age who are experiencing poor attendance, poor academic performance, poor family functioning, anti-social behaviors and/or poor individual problem-solving skills.  At program intake, Youth Services Specialists conduct an assessment to determine the needs of the youth and family.  Case plans are developed to target identified needs using a strength-based, youth development approach so that interventions are adapted to the learning styles and motivation of the participant. Prevention and intervention services may include tutoring, literacy, educational supports and advocacy, employment, substance abuse/alcohol counseling, gang intervention, prosocial activities (arts education, recreation) and restorative justice.  Additionally, this program assists the families of probationers in gaining access to resources and services that will help them become self-sufficient, thereby reducing risk factors associated with juvenile delinquency. The program goals are to provide early-intervention services for at-risk youths; provide daily monitoring of probationers; provide enhanced family services to probationers and at-risk youths; increase school attendance and performance; and reduce crime rates in the housing units.
Over the past few years, the ecological systems theory and the Positive Youth Development model (PYD) have informed the strategy of this program on productive youth engagement in programs in their communities, schools, organizations, peer groups, and families. As described in a recent gap analysis conducted by the RAND Corporation, "Positive youth development theorizes that when there is an alignment between youth talents, interests, skills, and community resources (e.g., school, family), young people can achieve positive developmental outcomes including academic achievement, extracurricular activities, physical and mental health, and prosocial behaviors (Catalano et al., 2004; Dotterer, McHale and Crouter, 2007; Fredricks and Eccles, 2010; Irvin et al., 2010)" (Whitaker et al., 2022). In turn, promoting these factors may be protective against involvement in delinquency (Development Services Group, 2015).
Whitaker, Laura, Sierra Smucker, and Stephanie Brooks Holliday, A Gap Analysis of the Los Angeles County Juvenile Justice Crime Prevention Act Portfolio. Santa Monica, CA: RAND Corporation, 2022. https://www.rand.org/pubs/research_reports/RRA1663-1.html.
Development Services Group, Inc. 2015. "Protective Factors for Delinquency. " Literature review.  Washington D.C.: Office of Juvenile Justice and Delinquency Prevention.</t>
  </si>
  <si>
    <t>The Special Needs Court is a full-time court that has been specifically designated and staffed to supervise juvenile offenders who suffer from a diagnosed serious mental illness, organic brain impairment, or developmental disabilities.  The court ensures that each participant youth receives the proper mental health treatment both in custody and in the community.  The program’s goal is to reduce the re-arrest rate for juvenile offenders who are diagnosed with mental health problems and increase the number of juveniles who receive appropriate mental health treatment. The program provides each participant the following:
• a referral process initiated through the Probation Department and the court
• comprehensive mental health screening and evaluation by a multidisciplinary team
• an individualized mental health treatment plan
• court and Probation-monitored case-management processes.
The Special Needs Court integrates principles from existing drug and mental health courts around the country, including a multidisciplinary team approach involving mental health professionals and the juvenile court, employing intensive and comprehensive supervision and case-management services, and placing the judge as the arbiter of the treatment and supervision process. These problem-solving court models were initially established with adult populations, but in the late 1990s, juvenile problem solving courts - especially drug courts - began to proliferate. These models include additional adaptations of the problem-solving court model for a juvenile population, including a focus on strengthening families of these youth. 
There has been evidence for the effectiveness of mental health courts. For example, Heretick and Russell (2013) compared the outcomes of youth participating in a mental health court to several comparison groups, including youth receiving minimum, medium, and intensive levels of community supervision. They found that youth in the mental health court tended to have higher recidivism rates (38%) during the intervention than those on minimum (6.7%) and medium (22.9%) community supervision, and lower recidivism than those on intensive supervision (54%). Another study found . One study found that youth had fewer arrests after a mental health court intervention along with decreases in assault or battery, violent threats, theft, weapons possession and vandalism (Behnken, Arredondo and Packman, 2009).
A report by RAND focused on FY 2016-2017 found that, compared to youth who were near misses for Special Needs Court eligibility, comparison group youth had lower rates of rearrest, although it is possible that this may reflect in part to additional monitoring of program participants.
Fain, Terry, Susan Turner, and Nima Shahidinia, Los Angeles County Juvenile Justice Crime Prevention Act: Fiscal Year 2016–2017 Report. Los Angeles County Probation Department, 2018.
Behnken, M. P., et al. (2009). "Reduction in Recidivism in a Juvenile Mental Health Court: A Pre- and Post-Treatment Outcome Study." Juvenile &amp; Family Court Journal 60(3): 23-44.
Heretick, D. M. L. and J. A. Russell (2013). "The Impact of Juvenile Mental Health Court on Recidivism Among Youth." Journal of Juvenile Justice 3(1): 1-14.</t>
  </si>
  <si>
    <t>The Office of Juvenile Justice and Delinquency Prevention (OJJDP), in partnership with the National Endowment for the Arts, conducted a literature review of the impacts of art programming for at-risk and justice-involved youth.  The report, which was last updated in May 2016, documented, "the arts can provide an outlet for addressing emotional and/or problem behaviors through opportunities to learn new skills, develop new talents, and express thoughts and ideas in creative and therapeutic ways (Ezell and Levy 2003).  Similarly, for youth dealing with trauma or victimization (including exposure to violence), the arts can help them cope with painful experiences by fostering resiliency. (Heise 2014)."
The creative arts programming being implemented throughout the County are designed to improve the youth's problem-solving skills and social competence through creative expression in various art forms. ("An Evaluation of an Arts Program for Incarcerated Juvenile Offenders." Journal of Correctional Education 54(3): 108-14).
Local Community Based Organizations are contracted to provide creative arts (music, literature, performing acts, painting, drawing, etc.) to youth detained in juvenile halls, residential treatment facilities and the community.  Each twelve-week cohort has a culmination event to showcase the work of youth who participate.
Baker, S., &amp; Homan, S. (2007). Rap, recidivism and the creative self: A popular music programme for young offenders in detention. Journal of Youth Studies, 10(4), 459-476.
 Ezell &amp; Levy (2003) "An Evaluation of an Arts Program for Incarcerated Juvenile Offenders." Journal of Correctional Education 54(3): 108-14.
Lazzari, M. M., Amundson, K. A., &amp; Jackson, R. L. (2005). “We are more than jailbirds”: an arts program for incarcerated young women. Affilia, 20(2), 169-185.
Rapp-Paglicci, L., Stewart, C., &amp; Rowe, W. (2012). Improving outcomes for at-risk youth: Findings from the prodigy cultural arts program. Journal of Evidence-Based Social Work, 9(5), 512-523.</t>
  </si>
  <si>
    <t>Please scroll to #4 to continue.</t>
  </si>
  <si>
    <t xml:space="preserve">The Contractor shall evaluate, recommend, develop, implement, and improve the processes for the Juvenile Justice Coordinating Council (JJCC) and its subcommittee(s). These processes and procedures will ensure efficiency, transparency, equity, and accountability within JJCC and its subcommittee(s).
A recent gap analysis conducted by RAND Corporation focused on the JJCPA funding allocation process identified several barriers, which were identified through a document review, survey of JJCC members, and interviews with JJCC members and Probation staff (Whitaker et al., 2022). This included factors such as a lack of alignment between the funding request and best practices in juvenile justice, a lack of alignment between funding request and the CMJJP scoring criteria, a lack of clarity about how much flexibility and discretion the JJCC can exercise in determining which programs receive funding, and limited information for JJCC members who are not on the CMJJP Ad-Hoc Subcommittee to review when voting on whether to adopt the plan. To the extent that the governance committee has the ability to further evaluate these processes and make recommendations, it has the potential to improve the efficiency and effectiveness of the JJCC. 
Whitaker, Laura, Sierra Smucker, and Stephanie Brooks Holliday, A Gap Analysis of the Los Angeles County Juvenile Justice Crime Prevention Act Portfolio. Santa Monica, CA: RAND Corporation, 2022. https://www.rand.org/pubs/research_reports/RRA1663-1.html.
</t>
  </si>
  <si>
    <t>The vocational training at camps or Workforce Development, Aging &amp; Community Services programs target higher-risk probation youth who reside in the community or are transitioning from Camps to the community.  Many of these youth are gang involved, use drug and alcohol and low academic performers who have multiple risk factors across multiple domains.  Youth with these types of risk profiles are known to pose a high risk for committing new crimes on reentry to the community.  This program employs the following service components:  vocational training and possible job placement and/or transition supportive services upon community reentry.  The program goals are to strengthen the family, support academic performance and linking to job training/job placement.  Some of these services are provided by Los Angeles County Workforce Development, Aging, and Community Services. Youth receive Work Based Learning activities, which includes paid classroom instruction with hands-on paid work experience. Youth who participate may also qualify for final placement with a host site; those who do not achieve final placement with the host site are connected to other WDACS workforce services. Youth also receive assessment and case management services. Work-based learning can provide a bridge into careers for youth at risk of become justice involved. A randomized controlled trial evaluation of a similar program in Washington DC, Baltimore, Virginia, and Chicago found that an internship program increased educational attainment and job preparation for male participants (Theodos et al., 2016). The program also increased the probability that students would enroll in a two-year degree among men. Such results highlight the possible benefits of an internship program for Los Angeles youth, as well. Researchers have also suggested that employment in youth can promote other positive outcome as well, such as social connectedness, and can be beneficial for juvenile justice-involved youth in that way as well (e.g., Ameen &amp; Lee, 2012).  
Theodos, B., Pergamit, M. R., Hanson, D., Edelstein, S., &amp; Daniels, R. (2016). Embarking on College and Career: Interim Evaluation of Urban Alliance. Research Report. Urban Institute.
Ameen, E. J., &amp; Lee, D. L. (2012). Vocational training in juvenile detention: A call for action. The Career Development Quarterly, 60(2), 98-108.</t>
  </si>
  <si>
    <t>The Mobile Tutoring Program through the Los Angeles County Public Library targeted prevention and intervention services based in the communities where our youth and families reside.  Expanded afterschool enrichment programming, involving the LAC Public Library, for Probation youth countywide, included educational related supportive services provided through a mobile tutoring program. This includes one-on-one virtual engagements between youth and librarians; Library outreach events; online homework help; and a book kiosk. Other program elements include life skills programming; Science, Technology, Engineering, Art, Math (STEAM) programs; and creative economy programs that promote and support pathways to creative industries and occupations.
There is evidence that after school programs that include tutoring support can increase school attendance, independent reading, and lower suspension rates among at risk youth (Jenson et al., 2018). A decrease in school suspensions is particularly relevant for this population as evidence suggests that suspensions are linked to contact with the criminal justice system (Fabelo et al., 2011). 
Jenson, J. M., Veeh, C., Anyon, Y., Mary, J. S., Calhoun, M., Tejada, J., &amp; Lechuga-Peña, S. (2018). Effects of an afterschool program on the academic outcomes of children and youth residing in public housing neighborhoods: A quasi-experimental study. Children and Youth Services Review, 88, 211-217.
Fabelo, T., Thompson, M. D., Plotkin, M., Carmichael, D., Marchbanks, M. P., &amp; Booth, E. A. (2011). Breaking schools' rules: A statewide study of how school discipline relates to students' success and juvenile justice involvement. New York: Council of State Governments Justice Center.</t>
  </si>
  <si>
    <t>The Vendor will hire, train and supervise Credible Messengers to provide a transformative mentoring intervention program using effective restorative justice and positive youth development practices to youth, and emergent adults (hereinafter referred to as “participants) between the ages of 14-25 and their families for the Los Angeles County Probation Department (Probation). The services shall be provided for participants referred from the two (2) Juvenile Halls and six (6) Residential Treatment facilities. The Residential Treatment facilities consist of five (5) Juvenile Camps and one (1) Juvenile Closed Replacement. The services shall be provided in the geographical areas hereinafter knows as Reentry Zone. The Service Area for the thirteen (13) Reentry Zones are listed in Exhibit 1 of Appendix A (Statement of Work). 
Credible messengers”) are people who are recognized and validated by the community they serve and can spread a message of hope and change to young people who trust them. They are community leaders comprised of experienced youth advocates and individuals with relevant life experiences whose role is to help youth transform attitudes and behaviors around violence and relationships. They can connect with the most challenging young people because they, Come from the same communities, are formerly incarcerated or were involved in the justice system, demonstrate integrity and transformation, and are skilled and trained in mentoring young people.
Credible messengers may be able to motivate young people where other professionals cannot. There is suggestive evidence that youth who live in high-risk environments can benefit from supportive relationships with unrelated adults (Grossman &amp; Tierney, 1988). Trained staff who make strong relationships with at risk-youth can also lead to the development of pro-social school behaviors and negatively associated with anti-social school behaviors (Anderson-Butcher et al., 2004). Evaluations of programs that use mentorship models similar to Credible Messengers demonstrate that such programs can reduce recidivism as well as improvements in self-perception and relationships with others (Lynch et al., 2018). Participants also report gains in emotional regulation and future orientation. 
Grossman, J. B., &amp; Tierney, J. P. (1998). Does mentoring work? An impact study of the Big Brothers Big Sisters program. Evaluation review, 22(3), 403-426. 
Lynch, M., Astone, N. M., Collazos, J., Lipman, M., &amp; Esthappan, S. (2018). Arches transformative mentoring program.
Anderson-Butcher, D., Cash, S. J., Saltzburg, S., Midle, T., &amp; Pace, D. (2004). Institutions of youth development: The significance of supportive staff-youth relationships. Journal of Human Behavior in the Social Environment, 9(1-2), 83-99.</t>
  </si>
  <si>
    <t>The Enhanced School and Community Services funded programs were developed utilizing one-time growth funds to support multiple programs that target diversion, prevention and early intervention throughout the County as determined by the Juvenile Justice Coordinating Council.  Five million dollars was distributed throughout the five Supervisorial Districts to target needs in the community.</t>
  </si>
  <si>
    <t>High/Risks High Needs program which renders services to participants with risk factors and/or exhibiting behaviors likely to result in incarceration and/or judicial intervention. In collaboration with Probation, the agency provides educational/employment services, including but not limited to work readiness, career exploration and guidance, occupational skills training, alternative high school services, counseling/mentoring, parent/family counseling, tutoring/computer training and college preparation.  Additionally includes short term/long term employment training and they facilitated employment opportunities for youth. 
Work-based learning can provide a bridge into careers for youth at risk of become justice involved. A randomized controlled trial evaluation of a similar program in Washington DC, Baltimore, Virginia, and Chicago found that an internship program increased educational attainment and job preparation for male participants (Theodos et al., 2016). The program also increased the probability that students would enroll in a two year degree among men. Such results highlight the possible benefits of an internship program for Los Angeles youth, as well. 
Theodos, B., Pergamit, M. R., Hanson, D., Edelstein, S., &amp; Daniels, R. (2016). Embarking on College and Career: Interim Evaluation of Urban Alliance. Research Report. Urban Institute.</t>
  </si>
  <si>
    <t xml:space="preserve">Programming includes:  Community-Based Safe Passages (County Parks and Recreation) - Engage residents and members of the community, including youth, to assist Community Ambassadors in fostering safe routes and safe zones.  Provide gang prevention/intervention activities at the school site(s), including school and class presentations, as well as individual and group counseling.  An active presence in all after hour community events and activities and provide crisis intervention through rumor control, mediation, peace maintenance and other violence interruption methods. By offering extended park hours and special activities, summer program aims to provide families with safe, fun experience in their communities; Supportive Services for Drug Treatment promotes youth engagement and substance abuse disorder (SUD) treatment retention rates and "holistically address a youth’s SUD related problems, surround youth with opportunities to succeed, and prevent more severe problems in adulthood" in alignment with the California Department of Health Care Services’ (DHCS) current version of the Youth Treatment Guidelines. Programming includes an array of services including instructor-led groups, diversionary recreation and other pro-social activities and; The CARE Project provides holistic representation to youth from a collaborative team of line attorneys, resource attorneys and psychiatric social workers.  The aim of the CARE Project is to identify mental illness, intellectual, developmental, and learning disabilities, and trauma suffered by a youth. </t>
  </si>
  <si>
    <t xml:space="preserve">Depending on profile and needs, youth participating in the YOBG program are housed at Camp Glenn Rockey (CGR), Camp Joseph Paige (CJP), Camp Clinton B. Afflerbaugh (CBA), Camp Joseph Scott (CJS), and Campus Kilpatrick.  Camps offer enhanced services including increased mental health services, substance abuse treatment, Dialectical Behavior Therapy (DBT), enhanced case management, vocational training, and transition planning. The Multi-Disciplinary Team (MDT) assists in the creation of an individualized case plans to ensure the needs of the youth were met. The various agencies (Los Angeles County Office of Education, Juvenile Court Health Services, Department of Mental Health, the youth, and parents/guardians) were involved in the process.   YOBG is also used to mitigate curtailments and maintain operations at CGR, CJP, CBA, and Campus Kilpatrick thereby redistributing YOBG youth across the remaining camps which provides housing, case management, small group interventions, behavior management programs, mental health services, education services, parent resource assistance, and transition planning.  Additionally, a comprehensive assessment and an individualized case plan are provided to each youth prior to camp placement.                   
In coordination with JJCPA, as part of the MDT process, Deputy Probation Officers assigned to community supervision participate in the transition process.   Depending on the youth’s risk and needs, youth are assigned to community supervision which includes after-school enrichment, vocational/employment programs and other services funded through JJCPA.   
Youth assigned to any community-based supervision programs had access to JJCPA contracted services provided through Community-Based Organizations and Governmental Agencies.  The risk and needs of this population were included in the JJCPA funding recommendations approved by the Juvenile Justice Coordinating Council (JJCC).   
</t>
  </si>
  <si>
    <t>The Youth Enhancement Services (YES) program was designed to enrich the Drug Medi-Cal - Organized Delivery System (DMC-ODS) SUD benefit package with activities and services designed to increase engagement, participation, and retention of youth who need SUD services that are not reimbursable under DMC-ODS but supported by the most current version of the Department of Health Care Services’ (DHCS) Youth Treatment Guidelines . In particular, the YES program is focused on preventing at-risk youth from entry into or repeat involvement in the juvenile justice system.
The supportive services program will have an operational impact at each DPH-SAPC youth-contracted SUD treatment provider. Enhanced services will be accessible to youth who meet criteria for a SUD or are at risk of developing a SUD and meet criteria for early intervention services, and those who are enrolled in an outpatient for at risk youth, outpatient, or intensive outpatient services. Currently, DPH-SAPC has a network of 26 youth providers to provide SUD services at 26 youth provider agencies serving youth in 37 DMC-certified locations and 30 field-based locations throughout the County with coverage in all Service Planning Areas (SPA) and Supervisorial Districts. As a set of enhanced services available to the entire youth SUD treatment network, the benefit of YES has the potential to reach an estimated 2,300 youth who are admitted to SUD treatment services annually and a smaller portion of youth who are yet to be enrolled into services.
Efforts to improve youth engagement in SUD treatment are worthwhile, as there is evidence that community-based substance use treatment can result in decreases in substance use among youth who are involved in the juvenle justice system (e.g., Chassin et al., 2009). There is also some evidence that substance use treatment care coordination interventions may be associated with decreases in recidivism, substance use, and emotional problems (Hussey et al., 2008).   
Chassin, L., G. Knight, D. Vargas-Chanes, S. H. Losoya, and D. Naranjo, "Substance use treatment outcomes in a sample of male serious juvenile offenders," J Subst Abuse Treat, Vol. 36, No. 2, Mar, 2009, pp. 183-194.
Hussey, D. L., et al. (2008). "Understanding clinical complexity in delinquent youth: comorbidities, service utilization, cost, and outcomes." J Psychoactive Drugs 40(1): 85-95.</t>
  </si>
  <si>
    <t>Programs included: Mobile Tutoring Services for LA County Public Library - Fund LAC Public Library program to create community-based opportunities for youth to receive academic support, tutoring and remedial assistance to encourage literacy and to enhance core academic competencies, and to create incentivized book clubs and hold public speaking trainings. After school programs including tutoring support can increase school attendance, independent reading, and lower suspension rates among at risk youth (Jenson et al., 2018), which may have implications for contact with the criminal justice system (Fabelo et al., 2011). CBO Capacity Building for Liberty Hill Foundation - Continue funding to address the gaps present in CBOs working to advance youth development through a wide range of interventions that are also tackling complex systemic issues. Funds provide a capacity-building program focused specifically on developing organizational core competencies for youth development organizations. Programs receiving capacity building services reported growth in their organizational capacity across several domains, including human resources, organizational structure and culture, and fundraising and board development (Imoyase Community Support Services, Year 2 Report). 
Services provided to youth and young adults by CENS include Outreach and Engagement, Eligibility Determination and Benefits Enrollment; Educational Sessions, Screening, Appointment Scheduling, Service Navigation, Ancillary Referrals and Linkages, Documentation and Reporting and Agency Community Education and a warm hand off to a continuum of community-based substance use disorder (SUD) treatment services upon the youth’s release from juvenile hall. CENS staff are registered or certified SUD counselors that serve as liaisons between youth participants involved with state, County, city, and community partners. There is some evidence that substance use treatment care coordination interventions may be associated with decreases in recidivism, substance use, and emotional problems (Hussey et al., 2008).   
Jenson, J. M., Veeh, C., Anyon, Y., Mary, J. S., Calhoun, M., Tejada, J., &amp; Lechuga-Peña, S. (2018). Effects of an afterschool program on the academic outcomes of children and youth residing in public housing neighborhoods: A quasi-experimental study. Children and Youth Services Review, 88, 211-217.
Fabelo, T., Thompson, M. D., Plotkin, M., Carmichael, D., Marchbanks, M. P., &amp; Booth, E. A. (2011). Breaking schools' rules: A statewide study of how school discipline relates to students' success and juvenile justice involvement. New York: Council of State Governments Justice Center.
Imoyase Community Support Services, Ready to Rise (R2R): Year 2 Evaluation Report. Los Angeles, CA.
Hussey, D. L., et al. (2008). "Understanding clinical complexity in delinquent youth: comorbidities, service utilization, cost, and outcomes." J Psychoactive Drugs 40(1): 85-95.</t>
  </si>
  <si>
    <t xml:space="preserve">Programs included: PYD from California Community Foundation (CCF)-Third year funding of the public–private partnership in support of PYD programming/grantmaking across LAC; After School Programming (City of Paramount) - Youth Activities League (YAL) program as a positive alternative to gang membership for children ages 7-17; LAC Beaches and Harbors– Ocean Safety Day:  education that includes lifeguards instructing Probation youth on many aspects of ocean safety through in-the-water-participation. This program based on the Protective Factors, Social Learning and Social Control theories. Research related to theoretical frameworks indicates youth can learn from pro-social peers, teachers and family and develop positive attachments that lead to adherence of positive pro-social behaviors which prevent delinquent behaviors; The development of a PYD framework that can be applied to JJCPA-funded programs. RAND Corporation's recent published gap analysis states, “Positive youth development theorizes that when there is an alignment among their talents, interests, skills, and community resources (e.g., school, family), young people can achieve positive developmental outcomes, including academic achievement, extracurricular activities, physical and mental health, and prosocial behaviors (Catalano et al., 2004; Dotterer, McHale, and Crouter, 2007; Fredricks and Eccles, 2010; Irvin et al., 2010).” (Whitaker et al., 2022, pg. 6). Having a formal mechanism of measuring PYD in JJCPA-funded programs will help assess whether progress is being made in those domains; an evaluation of 2018-19 PAD programming found that most participants believed PAD improved relationships with Sheriffs, most reported the program makes it easier to get services they need, helps them get to know their neighbors better and makes it easier to spend time with family (UCLA Luskin Social Welfare) and; the purpose of the Youth Commission is to better understand the impact of youth developmen initiatives in Los Angeles County.
Development Services Group, Inc. 2015. "Protective Factors for Delinquency. " Literature review.  Washington D.C.: Office of Juvenile Justice and Delinquency Prevention.  Whitaker, Laura, Sierra Smucker, and Stephanie Brooks Holliday, A Gap Analysis of the Los Angeles County Juvenile Justice Crime Prevention Act Portfolio. Santa Monica, CA: RAND Corporation, 2022. https://www.rand.org/pubs/research_reports/RRA1663-1.html.  UCLA Luskin Social Welfare. Parks After Dark Evaluation Brief 2018-19. Los Angeles, CA: Author. http://ph.lacounty.gov/ovp/docs/PAD%20documents/2018%20PAD%20Brief%20FINAL.pdf.  Los Angeles County Commission for Children and Families (2019). Report back on exploring the creation of a countywide Youth Advisory Board. http://file.lacounty.gov/SDSInter/bos/supdocs/141906.pdf.  Castillo Consulting Partners (2019). LA County Youth Advisory Body Data &amp; Landscape Analysis Report. Los Angeles, CA: Author.
</t>
  </si>
  <si>
    <t>As reported by the United States Census Bureau as of 2021, the percentage of youth (ages 11-17) race/ethnic groups in the County of Los Angeles included the following: 20.2% non-Hispanic White, 7.4% Black/African American, 10.7% Asian, 57.9% Hispanic or Latino, and 3.9% other (including multiracial, American Indian and Alaska Native, Native Hawaiian and Other Pacific Islander). DOJ data indicate that 33.6% of referred youth were Black/African American, indicating that these youth are disproportionately referred by law enforcement to the Probation Department for delinquent acts. The proportions of youth by race/ethnic group were similar for the past year as they were for the previous year. However, the total number of youth referred to Probation declined significantly, by about 33%. This might reflect the impact of COVID-19, though there had also been decreases (though smaller) in the total number of referred youth dating back to 2017, as well as an increase in County pre-arrest diversion options and change in the District Attorney's petition filing (misdemeanor) protocols.  ( (Note:  arrests referred to Probation under WIC Section 653.5 are mandatorily referred to the District Attorney's Office for filing consideration). 
Male youth continued to be overrepresented in the population of youth referred to Probation by law enforcement. More specifically, 87% of youth referred to Probation in 2021 were male, compared to 51% of the overall population ages 11-17 in the County. The percentage of female youth referred to Probation has declined slightly over the past two years, from 18.9% of referred youth in 2019 to 15.9% in 2021.</t>
  </si>
  <si>
    <t>ACT is a Los Angeles County District Attorney’s Office program that targets chronic truants in selected elementary schools.  Program objectives are to improve school attendance through parent and child accountability while the parent still exercises control over the child and to ensure that youth who are at risk of truancy or excessive absences attend school.  The program goals are to reduce truancy at selected ACT schools, address attendance problems at the earliest possible time before the child’s behavior is ingrained, and improve school performance, on the assumption that overall performance will improve with a reduction in truancy. 
An OJJDP paper, Truancy: First Step to a Lifetime of Problems (Garry, 1996), cites truancy as an indicator of and “stepping stone to delinquent and criminal activity” (p. 1). The paper notes that several studies have documented the correlation between drug use and truancy. These studies have also found that parental neglect is a common cause of truancy and that school attendance improves when truancy programs hold parents accountable for their children’s school attendance and when intensive monitoring and counseling of truant students are provided. There are certain programs that have demonstrated promise in reducing truancy, including a program called Operation Save Kids. The ACT program shares many components with this successful program. It refers youth with chronic truancy to the DA’s office.  Similarly, to what happens in the Save Kids program, the DA notifies the parents of the truant youth and follows up with a formal criminal filing if the parent fails to take appropriate corrective action. The OJJDP bulletin on the Juvenile Accountability Block Grants program (Gramckow and Tompkins, 1999) cites the ACT program and presents it as one model of an approach and program that holds juvenile offenders accountable for their behavior. 
More-recent literature exploring the effectiveness of truancy interventions finds that these programs have modest impacts and that no one type of intervention significantly stands out from others (Sutphen, Ford, and Flaherty, 2010; Maynard et al., 2013). However, researchers have argued that truancy interventions should be school-based and involve the community, courts, and law enforcement (Dembo and Gulledge, 2009; McKeon and Canally-Brown, 2008). 
Fain, Terry, Susan Turner, and Nima Shahidinia, Los Angeles County Juvenile Justice Crime Prevention Act: Fiscal Year 2016–2017 Report. Los Angeles County Probation Department, 2018. https://www.rand.org/pubs/research_reports/RR2401.html.</t>
  </si>
  <si>
    <t>Deputy Probation Officers from the various probation supervision programs refer youth with substance abuse issues to community-based providers for comprehensive assessment.  A central focus of this programming is to ensure that each high-risk youth on probation transitioning to the community from a camp setting is scheduled for an assessment prior to release from camp and that a community-based substance abuse treatment provider sees the probationer within the first 36 hours following his or her release from a camp facility.  If the assessment indicates the need for treatment, the substance abuse treatment provider employs intensive case management that requires contact with the youth and probation officer.  The program provides treatment through individual, family, and group counseling.  The treatment is holistic and focuses on the roots of the problem and not only on the substance abuse manifestation.  The program conducts drug testing to verify abstinence and program progress.  The treatment provider has access to inpatient services as needed.
Program goals are to reduce crime and antisocial behavior and reduce the number of participants with positive drug tests.  Youth Substance Abuse (YSA) providers work collaboratively with DPOs in developing a case plan that addresses the risk factors and criminogenic needs of each participant and provide the participant with substance abuse refusal skill training and a relapse-prevention plan (with emphasis placed on identifying “triggers that prompt drug use and high-risk situations that encourage drug use”).
YSA is based on the National Institute on Drug Abuse’s relapse-prevention behavioral-therapy research (Whitten, 2005).  The relapse-prevention approach to substance abuse treatment consists of a collection of strategies intended to enhance self-control.  Specific techniques include exploring the positive and negative consequences of continued use, self-monitoring to recognize drug cravings early on and to identify high-risk situations for use and developing strategies for coping with and avoiding high-risk situations and the desire to use.  A central element of this treatment is anticipating the problems that patients will likely encounter and helping them develop effective coping strategies.  Research indicates that the skills that people learn through relapse-prevention therapy remain after the completion of treatment (Whitten, 2005).
Beginning in July 2017, the Department of Public Health Substance Abuse Prevention entered the Drug Medi-cal Waiver which significantly reduced the costs of substance abuse services for the County.  As most youth qualify for medi-cal, this funding provided the local match for medi-cal youth and treatment costs for youth who did not qualify for medi-cal benefits.  This program continued through 2018.
Fain, Terry, Susan Turner, and Nima Shahidinia, Los Angeles County Juvenile Justice Crime Prevention Act: Fiscal Year 2016–2017 Report. Los Angeles County Probation Department, 2018.</t>
  </si>
  <si>
    <t xml:space="preserve">County of Los Angeles Department of Parks and Recreation and City of Los Angeles Department of Recreation and Parks agencies provide prosocial activities for at-risk youth and various family support services (e.g. mentoring, parenting, peer support, training and systems navigation).  The program goals are to provide early-intervention services for at-risk youth and to provide monitoring, especially between the hours of 3:00 p.m. and 6:00 p.m., at a time of the day when youth are most likely to be without adult supervision. 
The Parks program is largely a manifestation of the Communities That Care model (Developmental Research and Programs, 1993; Brooke-Weiss et al., 2008), which combines research findings that J. Hawkins and Catalano (1992) articulates about risk and protective factors related to the development of delinquency. Research has demonstrated that use of leisure time and association with delinquent peers are risk factors for certain types of offending behavior (e.g., Hilterman et al., 2014) By addressing risk factors and enhancing protective factors, such as positive social orientation, prosocial bonding, and clear and positive standards of behavior, programs can delay or prevent delinquency (OJJDP, 1995).  Communities can improve youths’ chances of leading healthy, productive, crime-free lives by reducing economic and social deprivation and mitigating individual risk factors (e.g. poor family functioning, academic failure) while promoting their abilities to (1) bond with prosocial peers, family members, and mentors; (2) be productive in school, sports, and work; and (3) successfully navigate the various rules and socially accepted routines required in a variety of settings (J. Hawkins and Catalano, 1992; Connell, Aber, and Walker, 1995). 
In addition, research indicates that after-school programs "have the potential to impact a range of positive learning and development outcomes, specifically in the areas of academic achievement, social/emotional development, delinquency prevention, and health and wellness" (Little et al., 2008). These after-school programs draw from a positive youth development framework that uses a strength-based approach to engaging youth from vulnerable communities. Youth get to explore their unique and collective life experiences through various forms of recreation programming, cultural arts, and youth leadership development activities. The principles of a trauma informed approaches are also embedded in programming, staff training and the physical environment where activities are offered, including safety, trustworthiness, collaboration, empowerment, voice, and cultural issues (SAMSHA’s Concept of Trauma and Guidance for a Youth Trauma-Informed Approach to Youth Settings, 2015). Programming is also designed to target the vulnerable time between school dismissal and when parents and guardians return home – an unsupervised period that can be critical for prevention of delinquent behavior, which is more common when youth are unsupervised (Apsler, 2009).
Priscilla Little, Christopher Wimer, and Heather Weiss (2008, February). After School Programs in the 21st Century: Their Potential and What it Takes to Achieve It. Issues and Opportunities in the Out-of-School Time Evaluation Brief No. 10.  Cambridge, MA Harvard Family Research Project.  Apsler, R. (2009). After-school programs for adolescents: A review of evaluation research. Adolescence, 44(173), 1-19. </t>
  </si>
  <si>
    <t>Mental Health Screening, Assessment and Treatment services were developed to screen, assess and treat newly admitted youth to the County’s juvenile halls.  All youth are screened upon admission by a mental health professional in order to identify those that need treatment and follow-up care.  The JJCPA funding was instrumental in addressing the recommended remedial measures from the Department of Justice (DOJ) Settlement Agreement.
On entry into juvenile hall, DMH professional staff screen detained youth. The staff employ the Massachusetts Youth Screening Instrument and a structured interview. The instrument screens for the following factors:
• suicide attempts and self-injury
• prior mental health history
• prior psychiatric hospitalization
• prior use of prescribed psychotropic medications
• evidence of learning disabilities
• evidence of substance abuse.
After the initial screening, staff refer for assessment any youth who show elevated risk for any of these factors. If the assessment indicates that the situation merits further attention, DMH professional staff develop a treatment plan (Grisso and Barnum, 2006).
This program shares many components with the successful Linkages Project in Ohio (Cocozza and Skowyra, 2000). In that project, the Ohio County of Lorain created the Project for Adolescent Intervention and Rehabilitation, which targeted youth placed on probation for the first time for any offense. The project screens and assesses youth for mental health and substance abuse disorders, then develops individual treatment plans. In conjunction with treatment providers, probation officers and case managers supervise the youths. An evaluation of the program found that it provides an important service and coordinating function for youths, the courts, and the service systems involved (Cocozza and Stainbrook, 1998; Skowyra and Cocozza, 2007). However, success in this context means the coordination of the agencies and does not imply an outcome evaluation. Several sources note the importance of screening and assessment in meeting the need for mental health treatment among youths in juvenile justice (Hammond, 2007; Hendrix, 2012; Grisso and Underwood, 2004; Wasserman et al., 2003). For juveniles who do not pose a danger to public safety, community-based treatment is likely to be a better option than detention, and screening is a first step to identifying those youth. 
Fain, Terry, Susan Turner, and Nima Shahidinia, Los Angeles County Juvenile Justice Crime Prevention Act: Fiscal Year 2016–2017 Report. Los Angeles County Probation Department, 2018. https://www.rand.org/pubs/research_reports/RR2401.html.</t>
  </si>
  <si>
    <t xml:space="preserve">The High-Risk/High Needs programs target higher-risk probation youth who reside in the community or are transitioning from Camps to the community.  Many of these youth are gang involved, use drug and alcohol and low academic performers who have multiple risk factors across multiple domains.  Youth with these types of risk profiles are known to pose a high risk for committing new crimes on reentry to the community.  This program employs the following service components:  vocational training and possible job placement and/or transition supportive services upon community reentry.  The program goals are to strengthen the family, support academic performance and linking to job training/job placement.  Some of these services are provided by Los Angeles County Workforce Development, Aging, and Community Services. Youth receive Work Based Learning activities, which includes paid classroom instruction with hands-on paid work experience. Youth who participate may also qualify for final placement with a host site; those who do not achieve final placement with the host site are connected to other WDACS workforce services. Youth also receive assessment and case management services. Work-based learning can provide a bridge into careers for youth at risk of become justice involved. A randomized controlled trial evaluation of a similar program in Washington DC, Baltimore, Virginia, and Chicago found that an internship program increased educational attainment and job preparation for male participants (Theodos et al., 2016). The program also increased the probability that students would enroll in a two-year degree among men. Such results highlight the possible benefits of an internship program for Los Angeles youth, as well.   Theodos, B., Pergamit, M. R., Hanson, D., Edelstein, S., &amp; Daniels, R. (2016). Embarking on College and Career: Interim Evaluation of Urban Alliance. Research Report. Urban Institute.
Others are provided by the Gang Reduction and Youth Development (GRYD) program, offered by the City of Los Angeles Mayor's Office of Gang Reduction and Youth Development. A component of these services are Family Case Management for gang-involved youth re-entering their communities following incarceration and their families. Services are designed to increase pro-social behavior and decrease gang-identity and recidivism. The GRYD/Probation Juvenile Reentry Evaluation Report (GRYD Office 2016) measured the outcomes for clients based on data collected from the inception of the program through 2016 and reassessment information after provision of services took place.  About 53% of youth lived at home with one biological parent, 82% of youth continued to demonstrate a need for enrollment in a high school program, 65% of clients gained employment during enrollment, and 83% of clients traveled outside of a three-mile radius to engage in prosocial activities (GRYD Office 2016).  In regards to recidivism, enrollment in the program demonstrated a 12% re-offense rate and low to no probation violations during the evaluation period.                     
</t>
  </si>
  <si>
    <t xml:space="preserve">As reported by the United States Census Bureau as of 2021, the percentage of youth (ages 11-17) race/ethnic groups in the County of Los Angeles included the following:  20.2% non-Hispanic White, 7.4% Black/African American, 10.7% Asian, 57.9% Hispanic or Latino, and 3.9% other (including multiracial, American Indian and Alaska Native, Native Hawaiian and Other Pacific Islander). However, these DOJ data indicate that 35.7% of youth with petitions filed were Black/African American, indicating that these youth are particularly disproportionately engaged with the District Attorney's Office (petitions filed), Probation (Disposition/Pre-Plea recommendations), Juvenile Court (dispositions and wardship orders), which thereby, results in Probation supervision. The percentage of youth in each racial and ethnic group changed little from the previous year to this year, though the overall number of court dispositions decreased substantially, by about 40%. This (decrease) may reflect the impact of COVID-19, though there was a trend toward a decreasing number of petitions filed observed since 2017, as well as an increase in County pre-arrest diversion options and change in DA petition filing (misdemeanor) protocols. Compared to the previous year, there was a slight increase in the percentage of youth whose wardship placement was in their own home or a relative's home (from 53% to 54%) and a slight decrease in the percentage who were placed in secure county facilities (from 16% to 13%).  Note:  DEJ number above should be 165 (LA County is addressing the interface issue associated with this data element).
</t>
  </si>
  <si>
    <t>Overall arrests decreased approximately 40.1% from 2020, which may be somewhat attributed to the impacts of COVID-19, the increase or pre-arrest County diversion options and the change in DA filing (misdemeanor) protocols.  Specifically, felony arrests decreased 20.2% and misdemeanor arrests, 64.6% from the previous year. Though there was an overall decrease in both felony arrests and misdemeanor arrests, in 2020, about 57% of all arrests were for felonies and 40.4% for misdemeanors. By contrast, last year, 76% of all arrests were felonies and 23.9% were misdemeanors. It is unclear if this reflects a change in the overall pattern of offenses committed during 2021, or perhaps a change due to COVID-19 (e.g., a trend for arrests to largely be made for more serious offenses rather than less serious offenses), the increased availability of County pre-arrest diversion options and change in the DA petition filing (misdemeanor) protocols  Additionally, as reported by the United States Census Bureau as of 2021, the percentage of youth (ages 11-17) race/ethnic groups in the County of Los Angeles included the following: 20.2% non-Hispanic White, 7.4% Black/African American, 10.7% Asian, 57.9% Hispanic or Latino, and 3.9% other (including multiracial, American Indian and Alaska Native, Native Hawaiian and Other Pacific Islander). By contrast, 35.7% of arrested youth were Black/African American. Based on this demographic information, there was a disproportionate number of youth of color, specifically Black/African American youth arrested during this identified timeframe.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</si>
</sst>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71">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center"/>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42" fontId="1" fillId="2"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9" fillId="0" borderId="0" xfId="0" applyFont="1" applyAlignment="1">
      <alignment horizontal="right" wrapText="1"/>
    </xf>
    <xf numFmtId="0" fontId="0" fillId="0" borderId="0" xfId="0" applyAlignment="1">
      <alignment horizontal="right" wrapText="1"/>
    </xf>
    <xf numFmtId="0" fontId="10" fillId="0" borderId="11" xfId="0" applyFont="1" applyBorder="1" applyAlignment="1">
      <alignment horizontal="left"/>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1" fillId="0" borderId="0" xfId="0" applyFont="1" applyAlignment="1">
      <alignment horizontal="justify" wrapText="1"/>
    </xf>
    <xf numFmtId="0" fontId="4" fillId="0" borderId="0" xfId="0" applyFont="1" applyAlignment="1">
      <alignment horizontal="center"/>
    </xf>
    <xf numFmtId="0" fontId="1" fillId="6" borderId="10" xfId="0" applyFont="1" applyFill="1" applyBorder="1" applyProtection="1">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1" fillId="12" borderId="6" xfId="0" applyFont="1" applyFill="1" applyBorder="1"/>
    <xf numFmtId="0" fontId="0" fillId="12" borderId="6" xfId="0" applyFill="1" applyBorder="1"/>
    <xf numFmtId="0" fontId="0" fillId="6" borderId="6" xfId="0" applyFill="1" applyBorder="1" applyAlignment="1">
      <alignment horizontal="left"/>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9" borderId="6" xfId="0" applyFill="1" applyBorder="1" applyAlignment="1">
      <alignment horizontal="left"/>
    </xf>
    <xf numFmtId="0" fontId="6" fillId="0" borderId="0" xfId="0" applyFont="1" applyAlignment="1">
      <alignment horizontal="justify" vertical="center" wrapText="1"/>
    </xf>
    <xf numFmtId="0" fontId="1" fillId="0" borderId="0" xfId="0" applyFont="1" applyAlignment="1">
      <alignment horizontal="left" vertical="top" wrapText="1"/>
    </xf>
    <xf numFmtId="0" fontId="1" fillId="9" borderId="6" xfId="0" applyFont="1" applyFill="1" applyBorder="1" applyAlignment="1">
      <alignment horizontal="left"/>
    </xf>
    <xf numFmtId="0" fontId="1" fillId="12" borderId="2" xfId="0" applyFont="1" applyFill="1" applyBorder="1" applyAlignment="1">
      <alignment wrapText="1"/>
    </xf>
    <xf numFmtId="0" fontId="1" fillId="12" borderId="3" xfId="0" applyFont="1" applyFill="1" applyBorder="1" applyAlignment="1">
      <alignment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0" fontId="1" fillId="12" borderId="10" xfId="0" applyFont="1" applyFill="1" applyBorder="1"/>
    <xf numFmtId="0" fontId="1" fillId="12" borderId="8" xfId="0" applyFont="1" applyFill="1" applyBorder="1"/>
    <xf numFmtId="0" fontId="1" fillId="12" borderId="9" xfId="0" applyFont="1" applyFill="1" applyBorder="1"/>
    <xf numFmtId="0" fontId="35" fillId="0" borderId="2" xfId="0" applyFont="1" applyBorder="1" applyAlignment="1" applyProtection="1">
      <alignment horizontal="left" vertical="top" wrapText="1"/>
      <protection locked="0"/>
    </xf>
    <xf numFmtId="0" fontId="35" fillId="0" borderId="3"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42334</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42334</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42334</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9525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1</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twoCellAnchor editAs="oneCell">
    <xdr:from>
      <xdr:col>6</xdr:col>
      <xdr:colOff>590550</xdr:colOff>
      <xdr:row>229</xdr:row>
      <xdr:rowOff>0</xdr:rowOff>
    </xdr:from>
    <xdr:to>
      <xdr:col>7</xdr:col>
      <xdr:colOff>57150</xdr:colOff>
      <xdr:row>230</xdr:row>
      <xdr:rowOff>0</xdr:rowOff>
    </xdr:to>
    <xdr:sp macro="" textlink="">
      <xdr:nvSpPr>
        <xdr:cNvPr id="2" name="Text Box 3">
          <a:extLst>
            <a:ext uri="{FF2B5EF4-FFF2-40B4-BE49-F238E27FC236}">
              <a16:creationId xmlns:a16="http://schemas.microsoft.com/office/drawing/2014/main" id="{E231CE9B-E493-4B3F-9706-259190B0C71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3" name="Text Box 4">
          <a:extLst>
            <a:ext uri="{FF2B5EF4-FFF2-40B4-BE49-F238E27FC236}">
              <a16:creationId xmlns:a16="http://schemas.microsoft.com/office/drawing/2014/main" id="{A271437C-20FB-4FD1-A9EB-30DAA17317B3}"/>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4" name="Text Box 3">
          <a:extLst>
            <a:ext uri="{FF2B5EF4-FFF2-40B4-BE49-F238E27FC236}">
              <a16:creationId xmlns:a16="http://schemas.microsoft.com/office/drawing/2014/main" id="{CE5B304F-C310-4C18-9C61-2289B8AC2FF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5" name="Text Box 4">
          <a:extLst>
            <a:ext uri="{FF2B5EF4-FFF2-40B4-BE49-F238E27FC236}">
              <a16:creationId xmlns:a16="http://schemas.microsoft.com/office/drawing/2014/main" id="{26FFCF22-C2CB-4570-BABC-4A53D8902156}"/>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6" name="Text Box 3">
          <a:extLst>
            <a:ext uri="{FF2B5EF4-FFF2-40B4-BE49-F238E27FC236}">
              <a16:creationId xmlns:a16="http://schemas.microsoft.com/office/drawing/2014/main" id="{478B4B11-540F-4978-8D98-7A68DD83BAFF}"/>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7" name="Text Box 4">
          <a:extLst>
            <a:ext uri="{FF2B5EF4-FFF2-40B4-BE49-F238E27FC236}">
              <a16:creationId xmlns:a16="http://schemas.microsoft.com/office/drawing/2014/main" id="{29DC6828-F99C-470F-B6A7-6FF88DB2B416}"/>
            </a:ext>
          </a:extLst>
        </xdr:cNvPr>
        <xdr:cNvSpPr txBox="1">
          <a:spLocks noChangeArrowheads="1"/>
        </xdr:cNvSpPr>
      </xdr:nvSpPr>
      <xdr:spPr bwMode="auto">
        <a:xfrm>
          <a:off x="942975" y="37757100"/>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8" name="Text Box 3">
          <a:extLst>
            <a:ext uri="{FF2B5EF4-FFF2-40B4-BE49-F238E27FC236}">
              <a16:creationId xmlns:a16="http://schemas.microsoft.com/office/drawing/2014/main" id="{8E933488-77EF-4EC9-9025-1514ECB2E1F7}"/>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 name="Text Box 3">
          <a:extLst>
            <a:ext uri="{FF2B5EF4-FFF2-40B4-BE49-F238E27FC236}">
              <a16:creationId xmlns:a16="http://schemas.microsoft.com/office/drawing/2014/main" id="{EC695D8E-EE59-4E79-8E84-D9A1B8D5B8E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 name="Text Box 4">
          <a:extLst>
            <a:ext uri="{FF2B5EF4-FFF2-40B4-BE49-F238E27FC236}">
              <a16:creationId xmlns:a16="http://schemas.microsoft.com/office/drawing/2014/main" id="{BD316DEA-AD77-414F-A4E7-3C83EDC188F6}"/>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1" name="Text Box 3">
          <a:extLst>
            <a:ext uri="{FF2B5EF4-FFF2-40B4-BE49-F238E27FC236}">
              <a16:creationId xmlns:a16="http://schemas.microsoft.com/office/drawing/2014/main" id="{C8C581E0-C73E-4352-B2B0-ACAD1C6D3D86}"/>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2" name="Text Box 3">
          <a:extLst>
            <a:ext uri="{FF2B5EF4-FFF2-40B4-BE49-F238E27FC236}">
              <a16:creationId xmlns:a16="http://schemas.microsoft.com/office/drawing/2014/main" id="{3AA1B318-1F89-4F38-BA0D-60EC0EA0881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4" name="Text Box 3">
          <a:extLst>
            <a:ext uri="{FF2B5EF4-FFF2-40B4-BE49-F238E27FC236}">
              <a16:creationId xmlns:a16="http://schemas.microsoft.com/office/drawing/2014/main" id="{3D0D4309-0D3E-48AA-827D-395DAF7F718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5" name="Text Box 4">
          <a:extLst>
            <a:ext uri="{FF2B5EF4-FFF2-40B4-BE49-F238E27FC236}">
              <a16:creationId xmlns:a16="http://schemas.microsoft.com/office/drawing/2014/main" id="{A9295FD6-9ECC-466B-9962-9A783E2FF43E}"/>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6" name="Text Box 3">
          <a:extLst>
            <a:ext uri="{FF2B5EF4-FFF2-40B4-BE49-F238E27FC236}">
              <a16:creationId xmlns:a16="http://schemas.microsoft.com/office/drawing/2014/main" id="{818E9921-6DB8-428E-BEC7-4E79564C4D50}"/>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7" name="Text Box 4">
          <a:extLst>
            <a:ext uri="{FF2B5EF4-FFF2-40B4-BE49-F238E27FC236}">
              <a16:creationId xmlns:a16="http://schemas.microsoft.com/office/drawing/2014/main" id="{FCA146B9-9631-441D-AFF6-9563BF82F3F9}"/>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8" name="Text Box 3">
          <a:extLst>
            <a:ext uri="{FF2B5EF4-FFF2-40B4-BE49-F238E27FC236}">
              <a16:creationId xmlns:a16="http://schemas.microsoft.com/office/drawing/2014/main" id="{EB4766D6-50FD-46EE-9D22-2F13F5DE960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9" name="Text Box 3">
          <a:extLst>
            <a:ext uri="{FF2B5EF4-FFF2-40B4-BE49-F238E27FC236}">
              <a16:creationId xmlns:a16="http://schemas.microsoft.com/office/drawing/2014/main" id="{0CA12EAE-1743-4B68-95D4-D11737DAF977}"/>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0" name="Text Box 4">
          <a:extLst>
            <a:ext uri="{FF2B5EF4-FFF2-40B4-BE49-F238E27FC236}">
              <a16:creationId xmlns:a16="http://schemas.microsoft.com/office/drawing/2014/main" id="{981E1E53-4BCD-4FDF-8F49-8208F43E66E5}"/>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1" name="Text Box 3">
          <a:extLst>
            <a:ext uri="{FF2B5EF4-FFF2-40B4-BE49-F238E27FC236}">
              <a16:creationId xmlns:a16="http://schemas.microsoft.com/office/drawing/2014/main" id="{39865339-B7D1-4663-9F14-FF964170FC3F}"/>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2" name="Text Box 3">
          <a:extLst>
            <a:ext uri="{FF2B5EF4-FFF2-40B4-BE49-F238E27FC236}">
              <a16:creationId xmlns:a16="http://schemas.microsoft.com/office/drawing/2014/main" id="{4588A488-1AD1-4144-9681-4B36412C3DB6}"/>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3" name="Text Box 3">
          <a:extLst>
            <a:ext uri="{FF2B5EF4-FFF2-40B4-BE49-F238E27FC236}">
              <a16:creationId xmlns:a16="http://schemas.microsoft.com/office/drawing/2014/main" id="{9A24FDAB-EA0D-4EDB-92FB-A273FC61CAE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4" name="Text Box 4">
          <a:extLst>
            <a:ext uri="{FF2B5EF4-FFF2-40B4-BE49-F238E27FC236}">
              <a16:creationId xmlns:a16="http://schemas.microsoft.com/office/drawing/2014/main" id="{DA9090C8-BD12-469D-BF1B-E8CB2588DF52}"/>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34" name="Text Box 3">
          <a:extLst>
            <a:ext uri="{FF2B5EF4-FFF2-40B4-BE49-F238E27FC236}">
              <a16:creationId xmlns:a16="http://schemas.microsoft.com/office/drawing/2014/main" id="{ED1C9282-00FF-4D78-A6F8-DC12F64D8ECA}"/>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5" name="Text Box 4">
          <a:extLst>
            <a:ext uri="{FF2B5EF4-FFF2-40B4-BE49-F238E27FC236}">
              <a16:creationId xmlns:a16="http://schemas.microsoft.com/office/drawing/2014/main" id="{B0895809-A17F-4957-B542-2AAFD8143800}"/>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6" name="Text Box 3">
          <a:extLst>
            <a:ext uri="{FF2B5EF4-FFF2-40B4-BE49-F238E27FC236}">
              <a16:creationId xmlns:a16="http://schemas.microsoft.com/office/drawing/2014/main" id="{A270CBE1-FE1B-4988-AA47-79CB7916627C}"/>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7" name="Text Box 3">
          <a:extLst>
            <a:ext uri="{FF2B5EF4-FFF2-40B4-BE49-F238E27FC236}">
              <a16:creationId xmlns:a16="http://schemas.microsoft.com/office/drawing/2014/main" id="{9839BA9D-1364-4E0D-A0B4-C7857369A644}"/>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8" name="Text Box 4">
          <a:extLst>
            <a:ext uri="{FF2B5EF4-FFF2-40B4-BE49-F238E27FC236}">
              <a16:creationId xmlns:a16="http://schemas.microsoft.com/office/drawing/2014/main" id="{96D0DE94-3C5C-4E93-AD88-BE51B23B0EAD}"/>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9" name="Text Box 3">
          <a:extLst>
            <a:ext uri="{FF2B5EF4-FFF2-40B4-BE49-F238E27FC236}">
              <a16:creationId xmlns:a16="http://schemas.microsoft.com/office/drawing/2014/main" id="{90F46D53-D579-4B14-99F4-8D319093271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0" name="Text Box 3">
          <a:extLst>
            <a:ext uri="{FF2B5EF4-FFF2-40B4-BE49-F238E27FC236}">
              <a16:creationId xmlns:a16="http://schemas.microsoft.com/office/drawing/2014/main" id="{D0D6DB26-94DD-4F11-A90E-5547C67237F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1" name="Text Box 3">
          <a:extLst>
            <a:ext uri="{FF2B5EF4-FFF2-40B4-BE49-F238E27FC236}">
              <a16:creationId xmlns:a16="http://schemas.microsoft.com/office/drawing/2014/main" id="{6EF414FB-27BD-41A1-B751-7EEAA740334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2" name="Text Box 4">
          <a:extLst>
            <a:ext uri="{FF2B5EF4-FFF2-40B4-BE49-F238E27FC236}">
              <a16:creationId xmlns:a16="http://schemas.microsoft.com/office/drawing/2014/main" id="{1A448EB0-5D8E-4AE9-A356-FA0C4ECF4F5F}"/>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52" name="Text Box 3">
          <a:extLst>
            <a:ext uri="{FF2B5EF4-FFF2-40B4-BE49-F238E27FC236}">
              <a16:creationId xmlns:a16="http://schemas.microsoft.com/office/drawing/2014/main" id="{E287F956-0268-4E57-9E90-93CB79EEAE0B}"/>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3" name="Text Box 4">
          <a:extLst>
            <a:ext uri="{FF2B5EF4-FFF2-40B4-BE49-F238E27FC236}">
              <a16:creationId xmlns:a16="http://schemas.microsoft.com/office/drawing/2014/main" id="{6D89DF12-5386-4786-B14E-827FB20D6D8D}"/>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4" name="Text Box 3">
          <a:extLst>
            <a:ext uri="{FF2B5EF4-FFF2-40B4-BE49-F238E27FC236}">
              <a16:creationId xmlns:a16="http://schemas.microsoft.com/office/drawing/2014/main" id="{50A52519-3CB2-45C1-91DF-3C33BAA0425B}"/>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5" name="Text Box 3">
          <a:extLst>
            <a:ext uri="{FF2B5EF4-FFF2-40B4-BE49-F238E27FC236}">
              <a16:creationId xmlns:a16="http://schemas.microsoft.com/office/drawing/2014/main" id="{2CD6DB2F-152B-4624-BBB4-27116C00E701}"/>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6" name="Text Box 4">
          <a:extLst>
            <a:ext uri="{FF2B5EF4-FFF2-40B4-BE49-F238E27FC236}">
              <a16:creationId xmlns:a16="http://schemas.microsoft.com/office/drawing/2014/main" id="{3B1D5C46-A319-4CDD-9083-8982C5F24C98}"/>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7" name="Text Box 3">
          <a:extLst>
            <a:ext uri="{FF2B5EF4-FFF2-40B4-BE49-F238E27FC236}">
              <a16:creationId xmlns:a16="http://schemas.microsoft.com/office/drawing/2014/main" id="{64DC6603-CC12-4D80-B45B-1A1A93C3F25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8" name="Text Box 3">
          <a:extLst>
            <a:ext uri="{FF2B5EF4-FFF2-40B4-BE49-F238E27FC236}">
              <a16:creationId xmlns:a16="http://schemas.microsoft.com/office/drawing/2014/main" id="{A90B8D2E-9EFE-47EA-A47A-7DC91191D323}"/>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9" name="Text Box 3">
          <a:extLst>
            <a:ext uri="{FF2B5EF4-FFF2-40B4-BE49-F238E27FC236}">
              <a16:creationId xmlns:a16="http://schemas.microsoft.com/office/drawing/2014/main" id="{CEF571C4-4FB7-4A4B-9A8A-F3CF7B1978D4}"/>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0" name="Text Box 4">
          <a:extLst>
            <a:ext uri="{FF2B5EF4-FFF2-40B4-BE49-F238E27FC236}">
              <a16:creationId xmlns:a16="http://schemas.microsoft.com/office/drawing/2014/main" id="{5134F8FE-A166-4866-8239-4F2CD0A21D56}"/>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0" name="Text Box 3">
          <a:extLst>
            <a:ext uri="{FF2B5EF4-FFF2-40B4-BE49-F238E27FC236}">
              <a16:creationId xmlns:a16="http://schemas.microsoft.com/office/drawing/2014/main" id="{C3046A93-BDC2-4DA6-8D3B-DB17B85A5B87}"/>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1" name="Text Box 4">
          <a:extLst>
            <a:ext uri="{FF2B5EF4-FFF2-40B4-BE49-F238E27FC236}">
              <a16:creationId xmlns:a16="http://schemas.microsoft.com/office/drawing/2014/main" id="{4F609A61-75F0-4D71-8992-CF534889DDA2}"/>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2" name="Text Box 3">
          <a:extLst>
            <a:ext uri="{FF2B5EF4-FFF2-40B4-BE49-F238E27FC236}">
              <a16:creationId xmlns:a16="http://schemas.microsoft.com/office/drawing/2014/main" id="{2092C7BF-2819-45B9-A3B5-CC46FA17157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3" name="Text Box 3">
          <a:extLst>
            <a:ext uri="{FF2B5EF4-FFF2-40B4-BE49-F238E27FC236}">
              <a16:creationId xmlns:a16="http://schemas.microsoft.com/office/drawing/2014/main" id="{D0A824ED-5BCB-4EBB-BAFC-E8965CF7676A}"/>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77" name="Text Box 4">
          <a:extLst>
            <a:ext uri="{FF2B5EF4-FFF2-40B4-BE49-F238E27FC236}">
              <a16:creationId xmlns:a16="http://schemas.microsoft.com/office/drawing/2014/main" id="{5B70AE3D-BA1E-4E76-80B2-A85F20E4392F}"/>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78" name="Text Box 3">
          <a:extLst>
            <a:ext uri="{FF2B5EF4-FFF2-40B4-BE49-F238E27FC236}">
              <a16:creationId xmlns:a16="http://schemas.microsoft.com/office/drawing/2014/main" id="{4A662BCE-B810-4E9A-86F4-EF5DA950DFA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79" name="Text Box 3">
          <a:extLst>
            <a:ext uri="{FF2B5EF4-FFF2-40B4-BE49-F238E27FC236}">
              <a16:creationId xmlns:a16="http://schemas.microsoft.com/office/drawing/2014/main" id="{A0A0D4D4-6D03-4309-B2EC-EB0A8C073CA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0" name="Text Box 3">
          <a:extLst>
            <a:ext uri="{FF2B5EF4-FFF2-40B4-BE49-F238E27FC236}">
              <a16:creationId xmlns:a16="http://schemas.microsoft.com/office/drawing/2014/main" id="{BBB94541-2E78-4D89-99A3-298E9A96CD09}"/>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1" name="Text Box 4">
          <a:extLst>
            <a:ext uri="{FF2B5EF4-FFF2-40B4-BE49-F238E27FC236}">
              <a16:creationId xmlns:a16="http://schemas.microsoft.com/office/drawing/2014/main" id="{92AEED8D-4EFA-46CE-B09E-22B4B4D0FDE3}"/>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82" name="Text Box 3">
          <a:extLst>
            <a:ext uri="{FF2B5EF4-FFF2-40B4-BE49-F238E27FC236}">
              <a16:creationId xmlns:a16="http://schemas.microsoft.com/office/drawing/2014/main" id="{3F612877-1086-47E1-87A2-B59F4EFDC265}"/>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3" name="Text Box 4">
          <a:extLst>
            <a:ext uri="{FF2B5EF4-FFF2-40B4-BE49-F238E27FC236}">
              <a16:creationId xmlns:a16="http://schemas.microsoft.com/office/drawing/2014/main" id="{9EAE769B-3BD5-4D6E-A949-7A63BABEE0B2}"/>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4" name="Text Box 3">
          <a:extLst>
            <a:ext uri="{FF2B5EF4-FFF2-40B4-BE49-F238E27FC236}">
              <a16:creationId xmlns:a16="http://schemas.microsoft.com/office/drawing/2014/main" id="{9CED17DA-EFF3-48CA-8B09-35091DD90B4E}"/>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5" name="Text Box 3">
          <a:extLst>
            <a:ext uri="{FF2B5EF4-FFF2-40B4-BE49-F238E27FC236}">
              <a16:creationId xmlns:a16="http://schemas.microsoft.com/office/drawing/2014/main" id="{3F7E35A7-CBFF-4069-BD81-F8DBAD0E3AE2}"/>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6" name="Text Box 4">
          <a:extLst>
            <a:ext uri="{FF2B5EF4-FFF2-40B4-BE49-F238E27FC236}">
              <a16:creationId xmlns:a16="http://schemas.microsoft.com/office/drawing/2014/main" id="{1C543518-E0D6-4244-8957-6E1BAD51D21A}"/>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7" name="Text Box 3">
          <a:extLst>
            <a:ext uri="{FF2B5EF4-FFF2-40B4-BE49-F238E27FC236}">
              <a16:creationId xmlns:a16="http://schemas.microsoft.com/office/drawing/2014/main" id="{DEF9DA6E-C6F7-4B37-ADB3-F758F83D0EC0}"/>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8" name="Text Box 3">
          <a:extLst>
            <a:ext uri="{FF2B5EF4-FFF2-40B4-BE49-F238E27FC236}">
              <a16:creationId xmlns:a16="http://schemas.microsoft.com/office/drawing/2014/main" id="{4FD529D9-DD6B-408E-9D2C-112238D54CB1}"/>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89" name="Text Box 3">
          <a:extLst>
            <a:ext uri="{FF2B5EF4-FFF2-40B4-BE49-F238E27FC236}">
              <a16:creationId xmlns:a16="http://schemas.microsoft.com/office/drawing/2014/main" id="{E9C7B4BE-B81D-4BC4-8FBC-E3F083DD643E}"/>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90" name="Text Box 4">
          <a:extLst>
            <a:ext uri="{FF2B5EF4-FFF2-40B4-BE49-F238E27FC236}">
              <a16:creationId xmlns:a16="http://schemas.microsoft.com/office/drawing/2014/main" id="{0106FB68-A26C-454A-B8A5-D70C8BEE3A64}"/>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91" name="Text Box 3">
          <a:extLst>
            <a:ext uri="{FF2B5EF4-FFF2-40B4-BE49-F238E27FC236}">
              <a16:creationId xmlns:a16="http://schemas.microsoft.com/office/drawing/2014/main" id="{2D23C8A3-2D1C-490E-8A82-6F4126B65E88}"/>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92" name="Text Box 4">
          <a:extLst>
            <a:ext uri="{FF2B5EF4-FFF2-40B4-BE49-F238E27FC236}">
              <a16:creationId xmlns:a16="http://schemas.microsoft.com/office/drawing/2014/main" id="{8A37AB80-F69E-4911-A97C-5A0C5D7DDCCA}"/>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3" name="Text Box 3">
          <a:extLst>
            <a:ext uri="{FF2B5EF4-FFF2-40B4-BE49-F238E27FC236}">
              <a16:creationId xmlns:a16="http://schemas.microsoft.com/office/drawing/2014/main" id="{7658148F-E50F-4154-B536-45F328B93705}"/>
            </a:ext>
          </a:extLst>
        </xdr:cNvPr>
        <xdr:cNvSpPr txBox="1">
          <a:spLocks noChangeArrowheads="1"/>
        </xdr:cNvSpPr>
      </xdr:nvSpPr>
      <xdr:spPr bwMode="auto">
        <a:xfrm>
          <a:off x="4257675" y="3775710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294" name="Text Box 3">
          <a:extLst>
            <a:ext uri="{FF2B5EF4-FFF2-40B4-BE49-F238E27FC236}">
              <a16:creationId xmlns:a16="http://schemas.microsoft.com/office/drawing/2014/main" id="{8ABAE837-4254-4D85-A32F-929DE9EF5F20}"/>
            </a:ext>
          </a:extLst>
        </xdr:cNvPr>
        <xdr:cNvSpPr txBox="1">
          <a:spLocks noChangeArrowheads="1"/>
        </xdr:cNvSpPr>
      </xdr:nvSpPr>
      <xdr:spPr bwMode="auto">
        <a:xfrm>
          <a:off x="4257675" y="37919025"/>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295" name="Text Box 4">
          <a:extLst>
            <a:ext uri="{FF2B5EF4-FFF2-40B4-BE49-F238E27FC236}">
              <a16:creationId xmlns:a16="http://schemas.microsoft.com/office/drawing/2014/main" id="{816CC117-C3CA-4529-9361-93FFD81EDB24}"/>
            </a:ext>
          </a:extLst>
        </xdr:cNvPr>
        <xdr:cNvSpPr txBox="1">
          <a:spLocks noChangeArrowheads="1"/>
        </xdr:cNvSpPr>
      </xdr:nvSpPr>
      <xdr:spPr bwMode="auto">
        <a:xfrm>
          <a:off x="0" y="379190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96" name="Text Box 3">
          <a:extLst>
            <a:ext uri="{FF2B5EF4-FFF2-40B4-BE49-F238E27FC236}">
              <a16:creationId xmlns:a16="http://schemas.microsoft.com/office/drawing/2014/main" id="{25BF0EAD-15F9-4A49-A8C6-63447887C8FD}"/>
            </a:ext>
          </a:extLst>
        </xdr:cNvPr>
        <xdr:cNvSpPr txBox="1">
          <a:spLocks noChangeArrowheads="1"/>
        </xdr:cNvSpPr>
      </xdr:nvSpPr>
      <xdr:spPr bwMode="auto">
        <a:xfrm>
          <a:off x="4257675" y="377571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97" name="Text Box 4">
          <a:extLst>
            <a:ext uri="{FF2B5EF4-FFF2-40B4-BE49-F238E27FC236}">
              <a16:creationId xmlns:a16="http://schemas.microsoft.com/office/drawing/2014/main" id="{7EA8AE82-C27B-4666-9A2B-DCFC4884601F}"/>
            </a:ext>
          </a:extLst>
        </xdr:cNvPr>
        <xdr:cNvSpPr txBox="1">
          <a:spLocks noChangeArrowheads="1"/>
        </xdr:cNvSpPr>
      </xdr:nvSpPr>
      <xdr:spPr bwMode="auto">
        <a:xfrm>
          <a:off x="0" y="37757100"/>
          <a:ext cx="28575" cy="10477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298" name="Text Box 3">
          <a:extLst>
            <a:ext uri="{FF2B5EF4-FFF2-40B4-BE49-F238E27FC236}">
              <a16:creationId xmlns:a16="http://schemas.microsoft.com/office/drawing/2014/main" id="{F89EF41A-31CA-44E3-9870-79EEC1FA4569}"/>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299" name="Text Box 3">
          <a:extLst>
            <a:ext uri="{FF2B5EF4-FFF2-40B4-BE49-F238E27FC236}">
              <a16:creationId xmlns:a16="http://schemas.microsoft.com/office/drawing/2014/main" id="{E47309F4-83C0-4B32-BD5B-78486380F2F8}"/>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0" name="Text Box 3">
          <a:extLst>
            <a:ext uri="{FF2B5EF4-FFF2-40B4-BE49-F238E27FC236}">
              <a16:creationId xmlns:a16="http://schemas.microsoft.com/office/drawing/2014/main" id="{8D20B606-39C1-4008-B1E6-01D6DABE2D7D}"/>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1" name="Text Box 3">
          <a:extLst>
            <a:ext uri="{FF2B5EF4-FFF2-40B4-BE49-F238E27FC236}">
              <a16:creationId xmlns:a16="http://schemas.microsoft.com/office/drawing/2014/main" id="{DD0A34C9-D4BE-4AFE-8D96-716FC21A64B5}"/>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2" name="Text Box 3">
          <a:extLst>
            <a:ext uri="{FF2B5EF4-FFF2-40B4-BE49-F238E27FC236}">
              <a16:creationId xmlns:a16="http://schemas.microsoft.com/office/drawing/2014/main" id="{BDD7A4F1-0562-45B7-A523-46C7DAECEA79}"/>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3" name="Text Box 3">
          <a:extLst>
            <a:ext uri="{FF2B5EF4-FFF2-40B4-BE49-F238E27FC236}">
              <a16:creationId xmlns:a16="http://schemas.microsoft.com/office/drawing/2014/main" id="{5838AA9C-693C-4ED0-A4AD-241A2B745228}"/>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4" name="Text Box 3">
          <a:extLst>
            <a:ext uri="{FF2B5EF4-FFF2-40B4-BE49-F238E27FC236}">
              <a16:creationId xmlns:a16="http://schemas.microsoft.com/office/drawing/2014/main" id="{6859E19B-E2B0-4667-A71E-FC81FF2ACCE6}"/>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05" name="Text Box 3">
          <a:extLst>
            <a:ext uri="{FF2B5EF4-FFF2-40B4-BE49-F238E27FC236}">
              <a16:creationId xmlns:a16="http://schemas.microsoft.com/office/drawing/2014/main" id="{B4B361A2-802E-446E-94E0-BAC71ADD6220}"/>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6" name="Text Box 3">
          <a:extLst>
            <a:ext uri="{FF2B5EF4-FFF2-40B4-BE49-F238E27FC236}">
              <a16:creationId xmlns:a16="http://schemas.microsoft.com/office/drawing/2014/main" id="{DA6E790D-9E96-4FF8-949D-54B0DD07CC7E}"/>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7" name="Text Box 3">
          <a:extLst>
            <a:ext uri="{FF2B5EF4-FFF2-40B4-BE49-F238E27FC236}">
              <a16:creationId xmlns:a16="http://schemas.microsoft.com/office/drawing/2014/main" id="{CC15B7A3-434A-4449-8B2C-568B9AB6411A}"/>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8" name="Text Box 3">
          <a:extLst>
            <a:ext uri="{FF2B5EF4-FFF2-40B4-BE49-F238E27FC236}">
              <a16:creationId xmlns:a16="http://schemas.microsoft.com/office/drawing/2014/main" id="{2213F8AA-E6C9-4DC0-BDAF-7D91F38466BE}"/>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09" name="Text Box 3">
          <a:extLst>
            <a:ext uri="{FF2B5EF4-FFF2-40B4-BE49-F238E27FC236}">
              <a16:creationId xmlns:a16="http://schemas.microsoft.com/office/drawing/2014/main" id="{40AD4392-B9C0-44FF-86FC-D0DC00A5ED63}"/>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0" name="Text Box 3">
          <a:extLst>
            <a:ext uri="{FF2B5EF4-FFF2-40B4-BE49-F238E27FC236}">
              <a16:creationId xmlns:a16="http://schemas.microsoft.com/office/drawing/2014/main" id="{EF31B2AC-10F1-46BA-8F73-FFB068581F70}"/>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11" name="Text Box 3">
          <a:extLst>
            <a:ext uri="{FF2B5EF4-FFF2-40B4-BE49-F238E27FC236}">
              <a16:creationId xmlns:a16="http://schemas.microsoft.com/office/drawing/2014/main" id="{B707111B-1D5F-4D83-9020-8591CEBC4B93}"/>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2" name="Text Box 3">
          <a:extLst>
            <a:ext uri="{FF2B5EF4-FFF2-40B4-BE49-F238E27FC236}">
              <a16:creationId xmlns:a16="http://schemas.microsoft.com/office/drawing/2014/main" id="{112A6C28-C805-4626-A4C0-B2129C40F3CB}"/>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3" name="Text Box 3">
          <a:extLst>
            <a:ext uri="{FF2B5EF4-FFF2-40B4-BE49-F238E27FC236}">
              <a16:creationId xmlns:a16="http://schemas.microsoft.com/office/drawing/2014/main" id="{C8AE5A99-31DB-4963-9DB7-B166C0923006}"/>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4" name="Text Box 3">
          <a:extLst>
            <a:ext uri="{FF2B5EF4-FFF2-40B4-BE49-F238E27FC236}">
              <a16:creationId xmlns:a16="http://schemas.microsoft.com/office/drawing/2014/main" id="{6A545673-623D-454E-8406-3B8ECE7DC0A0}"/>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5" name="Text Box 3">
          <a:extLst>
            <a:ext uri="{FF2B5EF4-FFF2-40B4-BE49-F238E27FC236}">
              <a16:creationId xmlns:a16="http://schemas.microsoft.com/office/drawing/2014/main" id="{9F59B4E8-DF71-4360-BD04-4E97306990CA}"/>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6" name="Text Box 3">
          <a:extLst>
            <a:ext uri="{FF2B5EF4-FFF2-40B4-BE49-F238E27FC236}">
              <a16:creationId xmlns:a16="http://schemas.microsoft.com/office/drawing/2014/main" id="{3327DEFC-AC38-4126-ADAF-A40D6192456F}"/>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17" name="Text Box 3">
          <a:extLst>
            <a:ext uri="{FF2B5EF4-FFF2-40B4-BE49-F238E27FC236}">
              <a16:creationId xmlns:a16="http://schemas.microsoft.com/office/drawing/2014/main" id="{D1B0D470-A814-4FB3-8E38-2376B19E0CC0}"/>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8" name="Text Box 3">
          <a:extLst>
            <a:ext uri="{FF2B5EF4-FFF2-40B4-BE49-F238E27FC236}">
              <a16:creationId xmlns:a16="http://schemas.microsoft.com/office/drawing/2014/main" id="{EF475D3E-6433-44D1-98E2-5575B2F4A4E2}"/>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19" name="Text Box 3">
          <a:extLst>
            <a:ext uri="{FF2B5EF4-FFF2-40B4-BE49-F238E27FC236}">
              <a16:creationId xmlns:a16="http://schemas.microsoft.com/office/drawing/2014/main" id="{C521F65A-F74D-477E-A238-599C0D753499}"/>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3" name="Text Box 3">
          <a:extLst>
            <a:ext uri="{FF2B5EF4-FFF2-40B4-BE49-F238E27FC236}">
              <a16:creationId xmlns:a16="http://schemas.microsoft.com/office/drawing/2014/main" id="{2AEA31B4-1A39-469D-B30F-82438637B5DA}"/>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4" name="Text Box 3">
          <a:extLst>
            <a:ext uri="{FF2B5EF4-FFF2-40B4-BE49-F238E27FC236}">
              <a16:creationId xmlns:a16="http://schemas.microsoft.com/office/drawing/2014/main" id="{E3F31B57-6BDE-4306-AFDB-247121DDDD53}"/>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5" name="Text Box 3">
          <a:extLst>
            <a:ext uri="{FF2B5EF4-FFF2-40B4-BE49-F238E27FC236}">
              <a16:creationId xmlns:a16="http://schemas.microsoft.com/office/drawing/2014/main" id="{5CC9BA2A-3FE5-49B7-9828-6EC72AE6D13A}"/>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66" name="Text Box 3">
          <a:extLst>
            <a:ext uri="{FF2B5EF4-FFF2-40B4-BE49-F238E27FC236}">
              <a16:creationId xmlns:a16="http://schemas.microsoft.com/office/drawing/2014/main" id="{2DF4F75A-9617-4ABD-8F93-D4B882110D5A}"/>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7" name="Text Box 3">
          <a:extLst>
            <a:ext uri="{FF2B5EF4-FFF2-40B4-BE49-F238E27FC236}">
              <a16:creationId xmlns:a16="http://schemas.microsoft.com/office/drawing/2014/main" id="{E2FC885F-2F8E-4ECE-83BB-5AA9605ECF1F}"/>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8" name="Text Box 3">
          <a:extLst>
            <a:ext uri="{FF2B5EF4-FFF2-40B4-BE49-F238E27FC236}">
              <a16:creationId xmlns:a16="http://schemas.microsoft.com/office/drawing/2014/main" id="{7154B77E-372E-44A0-B055-3B43541ADBED}"/>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69" name="Text Box 3">
          <a:extLst>
            <a:ext uri="{FF2B5EF4-FFF2-40B4-BE49-F238E27FC236}">
              <a16:creationId xmlns:a16="http://schemas.microsoft.com/office/drawing/2014/main" id="{8EEDC0A9-1957-45C3-AF4C-75CCD0933422}"/>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0" name="Text Box 3">
          <a:extLst>
            <a:ext uri="{FF2B5EF4-FFF2-40B4-BE49-F238E27FC236}">
              <a16:creationId xmlns:a16="http://schemas.microsoft.com/office/drawing/2014/main" id="{63D9DBE4-8E91-4AA7-88E5-B9CE40669D20}"/>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1" name="Text Box 3">
          <a:extLst>
            <a:ext uri="{FF2B5EF4-FFF2-40B4-BE49-F238E27FC236}">
              <a16:creationId xmlns:a16="http://schemas.microsoft.com/office/drawing/2014/main" id="{BEF599FA-C339-4D49-A7D1-5401974C0575}"/>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72" name="Text Box 3">
          <a:extLst>
            <a:ext uri="{FF2B5EF4-FFF2-40B4-BE49-F238E27FC236}">
              <a16:creationId xmlns:a16="http://schemas.microsoft.com/office/drawing/2014/main" id="{5AEA227B-CA30-4898-A51E-2592BEB2E428}"/>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3" name="Text Box 3">
          <a:extLst>
            <a:ext uri="{FF2B5EF4-FFF2-40B4-BE49-F238E27FC236}">
              <a16:creationId xmlns:a16="http://schemas.microsoft.com/office/drawing/2014/main" id="{BB82AE5D-ACB2-46EA-AD71-ECFD2F69AE70}"/>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4" name="Text Box 3">
          <a:extLst>
            <a:ext uri="{FF2B5EF4-FFF2-40B4-BE49-F238E27FC236}">
              <a16:creationId xmlns:a16="http://schemas.microsoft.com/office/drawing/2014/main" id="{785C5B3E-A98A-4D17-BF23-236F39AF9D0C}"/>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5" name="Text Box 3">
          <a:extLst>
            <a:ext uri="{FF2B5EF4-FFF2-40B4-BE49-F238E27FC236}">
              <a16:creationId xmlns:a16="http://schemas.microsoft.com/office/drawing/2014/main" id="{A47725F7-6C9D-456E-BE73-94657CB90F24}"/>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6" name="Text Box 3">
          <a:extLst>
            <a:ext uri="{FF2B5EF4-FFF2-40B4-BE49-F238E27FC236}">
              <a16:creationId xmlns:a16="http://schemas.microsoft.com/office/drawing/2014/main" id="{BE16EF74-5629-4FA3-8568-58C789285C5B}"/>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7" name="Text Box 3">
          <a:extLst>
            <a:ext uri="{FF2B5EF4-FFF2-40B4-BE49-F238E27FC236}">
              <a16:creationId xmlns:a16="http://schemas.microsoft.com/office/drawing/2014/main" id="{BA34885A-09B2-402C-894E-5AA6B0077571}"/>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982</xdr:row>
      <xdr:rowOff>0</xdr:rowOff>
    </xdr:from>
    <xdr:ext cx="76200" cy="196850"/>
    <xdr:sp macro="" textlink="">
      <xdr:nvSpPr>
        <xdr:cNvPr id="378" name="Text Box 3">
          <a:extLst>
            <a:ext uri="{FF2B5EF4-FFF2-40B4-BE49-F238E27FC236}">
              <a16:creationId xmlns:a16="http://schemas.microsoft.com/office/drawing/2014/main" id="{8B6E8DA3-ECE1-4E3B-B86E-0D3B351A33A9}"/>
            </a:ext>
          </a:extLst>
        </xdr:cNvPr>
        <xdr:cNvSpPr txBox="1">
          <a:spLocks noChangeArrowheads="1"/>
        </xdr:cNvSpPr>
      </xdr:nvSpPr>
      <xdr:spPr bwMode="auto">
        <a:xfrm>
          <a:off x="4273550" y="151331083"/>
          <a:ext cx="76200" cy="196850"/>
        </a:xfrm>
        <a:prstGeom prst="rect">
          <a:avLst/>
        </a:prstGeom>
        <a:noFill/>
        <a:ln w="9525">
          <a:noFill/>
          <a:miter lim="800000"/>
          <a:headEnd/>
          <a:tailEnd/>
        </a:ln>
      </xdr:spPr>
    </xdr:sp>
    <xdr:clientData/>
  </xdr:oneCellAnchor>
  <xdr:oneCellAnchor>
    <xdr:from>
      <xdr:col>6</xdr:col>
      <xdr:colOff>590550</xdr:colOff>
      <xdr:row>982</xdr:row>
      <xdr:rowOff>0</xdr:rowOff>
    </xdr:from>
    <xdr:ext cx="76200" cy="200025"/>
    <xdr:sp macro="" textlink="">
      <xdr:nvSpPr>
        <xdr:cNvPr id="379" name="Text Box 3">
          <a:extLst>
            <a:ext uri="{FF2B5EF4-FFF2-40B4-BE49-F238E27FC236}">
              <a16:creationId xmlns:a16="http://schemas.microsoft.com/office/drawing/2014/main" id="{CDA28A77-D6C0-456B-B6BD-8982998F1434}"/>
            </a:ext>
          </a:extLst>
        </xdr:cNvPr>
        <xdr:cNvSpPr txBox="1">
          <a:spLocks noChangeArrowheads="1"/>
        </xdr:cNvSpPr>
      </xdr:nvSpPr>
      <xdr:spPr bwMode="auto">
        <a:xfrm>
          <a:off x="4273550" y="151331083"/>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0" name="Text Box 3">
          <a:extLst>
            <a:ext uri="{FF2B5EF4-FFF2-40B4-BE49-F238E27FC236}">
              <a16:creationId xmlns:a16="http://schemas.microsoft.com/office/drawing/2014/main" id="{5B495ADC-A4FC-48A5-8394-84A853F70502}"/>
            </a:ext>
          </a:extLst>
        </xdr:cNvPr>
        <xdr:cNvSpPr txBox="1">
          <a:spLocks noChangeArrowheads="1"/>
        </xdr:cNvSpPr>
      </xdr:nvSpPr>
      <xdr:spPr bwMode="auto">
        <a:xfrm>
          <a:off x="4273550" y="151690917"/>
          <a:ext cx="76200" cy="200025"/>
        </a:xfrm>
        <a:prstGeom prst="rect">
          <a:avLst/>
        </a:prstGeom>
        <a:noFill/>
        <a:ln w="9525">
          <a:noFill/>
          <a:miter lim="800000"/>
          <a:headEnd/>
          <a:tailEnd/>
        </a:ln>
      </xdr:spPr>
    </xdr:sp>
    <xdr:clientData/>
  </xdr:oneCellAnchor>
  <xdr:oneCellAnchor>
    <xdr:from>
      <xdr:col>0</xdr:col>
      <xdr:colOff>0</xdr:colOff>
      <xdr:row>983</xdr:row>
      <xdr:rowOff>0</xdr:rowOff>
    </xdr:from>
    <xdr:ext cx="28575" cy="104775"/>
    <xdr:sp macro="" textlink="">
      <xdr:nvSpPr>
        <xdr:cNvPr id="381" name="Text Box 4">
          <a:extLst>
            <a:ext uri="{FF2B5EF4-FFF2-40B4-BE49-F238E27FC236}">
              <a16:creationId xmlns:a16="http://schemas.microsoft.com/office/drawing/2014/main" id="{74D2B5FF-9C26-477C-83E2-E20207784F5E}"/>
            </a:ext>
          </a:extLst>
        </xdr:cNvPr>
        <xdr:cNvSpPr txBox="1">
          <a:spLocks noChangeArrowheads="1"/>
        </xdr:cNvSpPr>
      </xdr:nvSpPr>
      <xdr:spPr bwMode="auto">
        <a:xfrm>
          <a:off x="0" y="151690917"/>
          <a:ext cx="28575" cy="10477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382" name="Text Box 3">
          <a:extLst>
            <a:ext uri="{FF2B5EF4-FFF2-40B4-BE49-F238E27FC236}">
              <a16:creationId xmlns:a16="http://schemas.microsoft.com/office/drawing/2014/main" id="{D913677C-02F1-470B-ACB4-8A75A3B6B008}"/>
            </a:ext>
          </a:extLst>
        </xdr:cNvPr>
        <xdr:cNvSpPr txBox="1">
          <a:spLocks noChangeArrowheads="1"/>
        </xdr:cNvSpPr>
      </xdr:nvSpPr>
      <xdr:spPr bwMode="auto">
        <a:xfrm>
          <a:off x="4273550" y="151489833"/>
          <a:ext cx="76200" cy="196850"/>
        </a:xfrm>
        <a:prstGeom prst="rect">
          <a:avLst/>
        </a:prstGeom>
        <a:noFill/>
        <a:ln w="9525">
          <a:noFill/>
          <a:miter lim="800000"/>
          <a:headEnd/>
          <a:tailEnd/>
        </a:ln>
      </xdr:spPr>
    </xdr:sp>
    <xdr:clientData/>
  </xdr:oneCellAnchor>
  <xdr:oneCellAnchor>
    <xdr:from>
      <xdr:col>0</xdr:col>
      <xdr:colOff>0</xdr:colOff>
      <xdr:row>983</xdr:row>
      <xdr:rowOff>0</xdr:rowOff>
    </xdr:from>
    <xdr:ext cx="28575" cy="104775"/>
    <xdr:sp macro="" textlink="">
      <xdr:nvSpPr>
        <xdr:cNvPr id="383" name="Text Box 4">
          <a:extLst>
            <a:ext uri="{FF2B5EF4-FFF2-40B4-BE49-F238E27FC236}">
              <a16:creationId xmlns:a16="http://schemas.microsoft.com/office/drawing/2014/main" id="{8759C998-EA82-4C8E-B8EE-5247A9F10743}"/>
            </a:ext>
          </a:extLst>
        </xdr:cNvPr>
        <xdr:cNvSpPr txBox="1">
          <a:spLocks noChangeArrowheads="1"/>
        </xdr:cNvSpPr>
      </xdr:nvSpPr>
      <xdr:spPr bwMode="auto">
        <a:xfrm>
          <a:off x="0" y="151489833"/>
          <a:ext cx="28575" cy="10477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4" name="Text Box 3">
          <a:extLst>
            <a:ext uri="{FF2B5EF4-FFF2-40B4-BE49-F238E27FC236}">
              <a16:creationId xmlns:a16="http://schemas.microsoft.com/office/drawing/2014/main" id="{9D4F4D7E-5AAD-4F7E-9F14-D28D1E7007A1}"/>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385" name="Text Box 3">
          <a:extLst>
            <a:ext uri="{FF2B5EF4-FFF2-40B4-BE49-F238E27FC236}">
              <a16:creationId xmlns:a16="http://schemas.microsoft.com/office/drawing/2014/main" id="{A681D203-4CCD-432F-9DA7-D29C5F743A41}"/>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6" name="Text Box 3">
          <a:extLst>
            <a:ext uri="{FF2B5EF4-FFF2-40B4-BE49-F238E27FC236}">
              <a16:creationId xmlns:a16="http://schemas.microsoft.com/office/drawing/2014/main" id="{9BAC1E20-EFC0-48FB-9AF9-55501FCCE89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7" name="Text Box 3">
          <a:extLst>
            <a:ext uri="{FF2B5EF4-FFF2-40B4-BE49-F238E27FC236}">
              <a16:creationId xmlns:a16="http://schemas.microsoft.com/office/drawing/2014/main" id="{91EA78FF-289A-412D-AB1B-D82D4C31625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8" name="Text Box 3">
          <a:extLst>
            <a:ext uri="{FF2B5EF4-FFF2-40B4-BE49-F238E27FC236}">
              <a16:creationId xmlns:a16="http://schemas.microsoft.com/office/drawing/2014/main" id="{CACEB29E-3D8C-4A47-8C7D-C259E08F457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89" name="Text Box 3">
          <a:extLst>
            <a:ext uri="{FF2B5EF4-FFF2-40B4-BE49-F238E27FC236}">
              <a16:creationId xmlns:a16="http://schemas.microsoft.com/office/drawing/2014/main" id="{6CA65394-DFCD-43D2-9EE4-21C5E6F06F2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0" name="Text Box 3">
          <a:extLst>
            <a:ext uri="{FF2B5EF4-FFF2-40B4-BE49-F238E27FC236}">
              <a16:creationId xmlns:a16="http://schemas.microsoft.com/office/drawing/2014/main" id="{6DD0E3D0-D669-4AE8-8926-7FF8E612107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391" name="Text Box 3">
          <a:extLst>
            <a:ext uri="{FF2B5EF4-FFF2-40B4-BE49-F238E27FC236}">
              <a16:creationId xmlns:a16="http://schemas.microsoft.com/office/drawing/2014/main" id="{12308833-F9EC-4F5E-B2C4-747DB8F4AACC}"/>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2" name="Text Box 3">
          <a:extLst>
            <a:ext uri="{FF2B5EF4-FFF2-40B4-BE49-F238E27FC236}">
              <a16:creationId xmlns:a16="http://schemas.microsoft.com/office/drawing/2014/main" id="{7173C6BD-6996-4312-962D-812DF8864B6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3" name="Text Box 3">
          <a:extLst>
            <a:ext uri="{FF2B5EF4-FFF2-40B4-BE49-F238E27FC236}">
              <a16:creationId xmlns:a16="http://schemas.microsoft.com/office/drawing/2014/main" id="{0CBD8CC7-9569-4755-B94B-D229C272569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4" name="Text Box 3">
          <a:extLst>
            <a:ext uri="{FF2B5EF4-FFF2-40B4-BE49-F238E27FC236}">
              <a16:creationId xmlns:a16="http://schemas.microsoft.com/office/drawing/2014/main" id="{D5C9E3E4-2E71-49AC-96D5-8EBFCC04550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5" name="Text Box 3">
          <a:extLst>
            <a:ext uri="{FF2B5EF4-FFF2-40B4-BE49-F238E27FC236}">
              <a16:creationId xmlns:a16="http://schemas.microsoft.com/office/drawing/2014/main" id="{455CA452-BE27-4C81-A70B-6AA974FA1C97}"/>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6" name="Text Box 3">
          <a:extLst>
            <a:ext uri="{FF2B5EF4-FFF2-40B4-BE49-F238E27FC236}">
              <a16:creationId xmlns:a16="http://schemas.microsoft.com/office/drawing/2014/main" id="{044DA458-377E-4D9F-BC95-4E014713F966}"/>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397" name="Text Box 3">
          <a:extLst>
            <a:ext uri="{FF2B5EF4-FFF2-40B4-BE49-F238E27FC236}">
              <a16:creationId xmlns:a16="http://schemas.microsoft.com/office/drawing/2014/main" id="{53B533DD-54C0-4616-854F-D143B57EAD37}"/>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8" name="Text Box 3">
          <a:extLst>
            <a:ext uri="{FF2B5EF4-FFF2-40B4-BE49-F238E27FC236}">
              <a16:creationId xmlns:a16="http://schemas.microsoft.com/office/drawing/2014/main" id="{45D0D34C-39FD-4AE7-9429-F12D65E022D4}"/>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399" name="Text Box 3">
          <a:extLst>
            <a:ext uri="{FF2B5EF4-FFF2-40B4-BE49-F238E27FC236}">
              <a16:creationId xmlns:a16="http://schemas.microsoft.com/office/drawing/2014/main" id="{1234EE83-828D-4550-9597-7D30C4A9F1A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400" name="Text Box 3">
          <a:extLst>
            <a:ext uri="{FF2B5EF4-FFF2-40B4-BE49-F238E27FC236}">
              <a16:creationId xmlns:a16="http://schemas.microsoft.com/office/drawing/2014/main" id="{CE608279-9C7F-414D-B2D6-60FA662E69E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401" name="Text Box 3">
          <a:extLst>
            <a:ext uri="{FF2B5EF4-FFF2-40B4-BE49-F238E27FC236}">
              <a16:creationId xmlns:a16="http://schemas.microsoft.com/office/drawing/2014/main" id="{BAB9FE9D-D80B-48C6-A863-49DA07CCB4C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402" name="Text Box 3">
          <a:extLst>
            <a:ext uri="{FF2B5EF4-FFF2-40B4-BE49-F238E27FC236}">
              <a16:creationId xmlns:a16="http://schemas.microsoft.com/office/drawing/2014/main" id="{3BE55FD0-A077-46A0-A81E-F7EA5D02066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403" name="Text Box 3">
          <a:extLst>
            <a:ext uri="{FF2B5EF4-FFF2-40B4-BE49-F238E27FC236}">
              <a16:creationId xmlns:a16="http://schemas.microsoft.com/office/drawing/2014/main" id="{06B618E9-3EC6-405D-8FC1-7D5D09C6066D}"/>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404" name="Text Box 3">
          <a:extLst>
            <a:ext uri="{FF2B5EF4-FFF2-40B4-BE49-F238E27FC236}">
              <a16:creationId xmlns:a16="http://schemas.microsoft.com/office/drawing/2014/main" id="{AB5700F4-EF96-44ED-A40A-FF6C9EDD61D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405" name="Text Box 3">
          <a:extLst>
            <a:ext uri="{FF2B5EF4-FFF2-40B4-BE49-F238E27FC236}">
              <a16:creationId xmlns:a16="http://schemas.microsoft.com/office/drawing/2014/main" id="{385C04D5-8BE8-4933-860E-5A496481490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64" name="Text Box 3">
          <a:extLst>
            <a:ext uri="{FF2B5EF4-FFF2-40B4-BE49-F238E27FC236}">
              <a16:creationId xmlns:a16="http://schemas.microsoft.com/office/drawing/2014/main" id="{EA40E538-DC72-4AA7-A646-E2DABD5A8C62}"/>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65" name="Text Box 3">
          <a:extLst>
            <a:ext uri="{FF2B5EF4-FFF2-40B4-BE49-F238E27FC236}">
              <a16:creationId xmlns:a16="http://schemas.microsoft.com/office/drawing/2014/main" id="{C08F7E92-345D-4E69-A4DD-DB900D911DE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66" name="Text Box 3">
          <a:extLst>
            <a:ext uri="{FF2B5EF4-FFF2-40B4-BE49-F238E27FC236}">
              <a16:creationId xmlns:a16="http://schemas.microsoft.com/office/drawing/2014/main" id="{AA227124-426E-42A6-9544-9A46D929911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667" name="Text Box 3">
          <a:extLst>
            <a:ext uri="{FF2B5EF4-FFF2-40B4-BE49-F238E27FC236}">
              <a16:creationId xmlns:a16="http://schemas.microsoft.com/office/drawing/2014/main" id="{76BDE458-8745-4A16-B410-4C2DA7C7E502}"/>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68" name="Text Box 3">
          <a:extLst>
            <a:ext uri="{FF2B5EF4-FFF2-40B4-BE49-F238E27FC236}">
              <a16:creationId xmlns:a16="http://schemas.microsoft.com/office/drawing/2014/main" id="{4D10F42A-B469-4163-9B7C-D25D9390CC7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69" name="Text Box 3">
          <a:extLst>
            <a:ext uri="{FF2B5EF4-FFF2-40B4-BE49-F238E27FC236}">
              <a16:creationId xmlns:a16="http://schemas.microsoft.com/office/drawing/2014/main" id="{B13AA588-09D8-430D-9CC8-8533DEE29AD1}"/>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0" name="Text Box 3">
          <a:extLst>
            <a:ext uri="{FF2B5EF4-FFF2-40B4-BE49-F238E27FC236}">
              <a16:creationId xmlns:a16="http://schemas.microsoft.com/office/drawing/2014/main" id="{434F668C-7BF6-4234-B3AC-47C154DE005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1" name="Text Box 3">
          <a:extLst>
            <a:ext uri="{FF2B5EF4-FFF2-40B4-BE49-F238E27FC236}">
              <a16:creationId xmlns:a16="http://schemas.microsoft.com/office/drawing/2014/main" id="{87BA53B7-09F3-47E8-9AC1-834264EAB9C4}"/>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2" name="Text Box 3">
          <a:extLst>
            <a:ext uri="{FF2B5EF4-FFF2-40B4-BE49-F238E27FC236}">
              <a16:creationId xmlns:a16="http://schemas.microsoft.com/office/drawing/2014/main" id="{D6F67C56-A1D3-490E-96BB-8A496C59922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673" name="Text Box 3">
          <a:extLst>
            <a:ext uri="{FF2B5EF4-FFF2-40B4-BE49-F238E27FC236}">
              <a16:creationId xmlns:a16="http://schemas.microsoft.com/office/drawing/2014/main" id="{62C50582-F6E8-4E6F-90CA-942EBDB06F64}"/>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4" name="Text Box 3">
          <a:extLst>
            <a:ext uri="{FF2B5EF4-FFF2-40B4-BE49-F238E27FC236}">
              <a16:creationId xmlns:a16="http://schemas.microsoft.com/office/drawing/2014/main" id="{DB1BAE31-3C82-4243-B87F-78860EC1874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5" name="Text Box 3">
          <a:extLst>
            <a:ext uri="{FF2B5EF4-FFF2-40B4-BE49-F238E27FC236}">
              <a16:creationId xmlns:a16="http://schemas.microsoft.com/office/drawing/2014/main" id="{E5057C67-8CF8-4977-B4E3-030C78338012}"/>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6" name="Text Box 3">
          <a:extLst>
            <a:ext uri="{FF2B5EF4-FFF2-40B4-BE49-F238E27FC236}">
              <a16:creationId xmlns:a16="http://schemas.microsoft.com/office/drawing/2014/main" id="{1CE55D08-57F5-4013-BAA8-C802864C9F4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7" name="Text Box 3">
          <a:extLst>
            <a:ext uri="{FF2B5EF4-FFF2-40B4-BE49-F238E27FC236}">
              <a16:creationId xmlns:a16="http://schemas.microsoft.com/office/drawing/2014/main" id="{A3965435-FBF3-42EC-9B0C-1039D3747B02}"/>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78" name="Text Box 3">
          <a:extLst>
            <a:ext uri="{FF2B5EF4-FFF2-40B4-BE49-F238E27FC236}">
              <a16:creationId xmlns:a16="http://schemas.microsoft.com/office/drawing/2014/main" id="{628B2EF4-7DB1-43E0-AC71-7B51684605E7}"/>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983</xdr:row>
      <xdr:rowOff>0</xdr:rowOff>
    </xdr:from>
    <xdr:ext cx="76200" cy="196850"/>
    <xdr:sp macro="" textlink="">
      <xdr:nvSpPr>
        <xdr:cNvPr id="679" name="Text Box 3">
          <a:extLst>
            <a:ext uri="{FF2B5EF4-FFF2-40B4-BE49-F238E27FC236}">
              <a16:creationId xmlns:a16="http://schemas.microsoft.com/office/drawing/2014/main" id="{8DE2B747-EAA4-4766-8802-57C55A1A4C42}"/>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983</xdr:row>
      <xdr:rowOff>0</xdr:rowOff>
    </xdr:from>
    <xdr:ext cx="76200" cy="200025"/>
    <xdr:sp macro="" textlink="">
      <xdr:nvSpPr>
        <xdr:cNvPr id="680" name="Text Box 3">
          <a:extLst>
            <a:ext uri="{FF2B5EF4-FFF2-40B4-BE49-F238E27FC236}">
              <a16:creationId xmlns:a16="http://schemas.microsoft.com/office/drawing/2014/main" id="{95722371-A6D0-4DF6-8A38-D942A237D066}"/>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81" name="Text Box 3">
          <a:extLst>
            <a:ext uri="{FF2B5EF4-FFF2-40B4-BE49-F238E27FC236}">
              <a16:creationId xmlns:a16="http://schemas.microsoft.com/office/drawing/2014/main" id="{102D234C-7AEB-4F7E-A312-535603B2AFCD}"/>
            </a:ext>
          </a:extLst>
        </xdr:cNvPr>
        <xdr:cNvSpPr txBox="1">
          <a:spLocks noChangeArrowheads="1"/>
        </xdr:cNvSpPr>
      </xdr:nvSpPr>
      <xdr:spPr bwMode="auto">
        <a:xfrm>
          <a:off x="4273550" y="161099500"/>
          <a:ext cx="76200" cy="200025"/>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682" name="Text Box 4">
          <a:extLst>
            <a:ext uri="{FF2B5EF4-FFF2-40B4-BE49-F238E27FC236}">
              <a16:creationId xmlns:a16="http://schemas.microsoft.com/office/drawing/2014/main" id="{6C775681-8DA0-47FD-A712-E0D256B9544B}"/>
            </a:ext>
          </a:extLst>
        </xdr:cNvPr>
        <xdr:cNvSpPr txBox="1">
          <a:spLocks noChangeArrowheads="1"/>
        </xdr:cNvSpPr>
      </xdr:nvSpPr>
      <xdr:spPr bwMode="auto">
        <a:xfrm>
          <a:off x="0" y="161099500"/>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683" name="Text Box 3">
          <a:extLst>
            <a:ext uri="{FF2B5EF4-FFF2-40B4-BE49-F238E27FC236}">
              <a16:creationId xmlns:a16="http://schemas.microsoft.com/office/drawing/2014/main" id="{18036A9F-E378-45D8-BBB3-C8B4D9922128}"/>
            </a:ext>
          </a:extLst>
        </xdr:cNvPr>
        <xdr:cNvSpPr txBox="1">
          <a:spLocks noChangeArrowheads="1"/>
        </xdr:cNvSpPr>
      </xdr:nvSpPr>
      <xdr:spPr bwMode="auto">
        <a:xfrm>
          <a:off x="4273550" y="160898417"/>
          <a:ext cx="76200" cy="196850"/>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684" name="Text Box 4">
          <a:extLst>
            <a:ext uri="{FF2B5EF4-FFF2-40B4-BE49-F238E27FC236}">
              <a16:creationId xmlns:a16="http://schemas.microsoft.com/office/drawing/2014/main" id="{6DE333AE-2139-4AE4-BCE7-6FFEDD6804F3}"/>
            </a:ext>
          </a:extLst>
        </xdr:cNvPr>
        <xdr:cNvSpPr txBox="1">
          <a:spLocks noChangeArrowheads="1"/>
        </xdr:cNvSpPr>
      </xdr:nvSpPr>
      <xdr:spPr bwMode="auto">
        <a:xfrm>
          <a:off x="0" y="160898417"/>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85" name="Text Box 3">
          <a:extLst>
            <a:ext uri="{FF2B5EF4-FFF2-40B4-BE49-F238E27FC236}">
              <a16:creationId xmlns:a16="http://schemas.microsoft.com/office/drawing/2014/main" id="{7C63D91F-3169-4C9C-AF9A-C7E8B1BA1B46}"/>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686" name="Text Box 3">
          <a:extLst>
            <a:ext uri="{FF2B5EF4-FFF2-40B4-BE49-F238E27FC236}">
              <a16:creationId xmlns:a16="http://schemas.microsoft.com/office/drawing/2014/main" id="{4264426E-A9F0-4115-9BEB-8F64006F661A}"/>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87" name="Text Box 3">
          <a:extLst>
            <a:ext uri="{FF2B5EF4-FFF2-40B4-BE49-F238E27FC236}">
              <a16:creationId xmlns:a16="http://schemas.microsoft.com/office/drawing/2014/main" id="{D56AFD2A-1DD3-4589-BA51-C5138F07012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88" name="Text Box 3">
          <a:extLst>
            <a:ext uri="{FF2B5EF4-FFF2-40B4-BE49-F238E27FC236}">
              <a16:creationId xmlns:a16="http://schemas.microsoft.com/office/drawing/2014/main" id="{F1372F76-4703-4EA8-8AF0-859A4788899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89" name="Text Box 3">
          <a:extLst>
            <a:ext uri="{FF2B5EF4-FFF2-40B4-BE49-F238E27FC236}">
              <a16:creationId xmlns:a16="http://schemas.microsoft.com/office/drawing/2014/main" id="{A7A50D79-70EF-4F4A-855E-E6B3FE1738D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0" name="Text Box 3">
          <a:extLst>
            <a:ext uri="{FF2B5EF4-FFF2-40B4-BE49-F238E27FC236}">
              <a16:creationId xmlns:a16="http://schemas.microsoft.com/office/drawing/2014/main" id="{46065032-0873-4ECC-8F5C-6EA62A922FF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1" name="Text Box 3">
          <a:extLst>
            <a:ext uri="{FF2B5EF4-FFF2-40B4-BE49-F238E27FC236}">
              <a16:creationId xmlns:a16="http://schemas.microsoft.com/office/drawing/2014/main" id="{6A0E046B-8304-48C3-812B-D3CFAC3820B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692" name="Text Box 3">
          <a:extLst>
            <a:ext uri="{FF2B5EF4-FFF2-40B4-BE49-F238E27FC236}">
              <a16:creationId xmlns:a16="http://schemas.microsoft.com/office/drawing/2014/main" id="{0B6EB1C3-6304-4A13-9549-8F7F80C5D9BA}"/>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3" name="Text Box 3">
          <a:extLst>
            <a:ext uri="{FF2B5EF4-FFF2-40B4-BE49-F238E27FC236}">
              <a16:creationId xmlns:a16="http://schemas.microsoft.com/office/drawing/2014/main" id="{BC8DCAC7-4B6B-4A5F-BFFF-DDFDD3F4375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4" name="Text Box 3">
          <a:extLst>
            <a:ext uri="{FF2B5EF4-FFF2-40B4-BE49-F238E27FC236}">
              <a16:creationId xmlns:a16="http://schemas.microsoft.com/office/drawing/2014/main" id="{D2E70A55-1330-46D1-B1CD-E8F593D06FC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5" name="Text Box 3">
          <a:extLst>
            <a:ext uri="{FF2B5EF4-FFF2-40B4-BE49-F238E27FC236}">
              <a16:creationId xmlns:a16="http://schemas.microsoft.com/office/drawing/2014/main" id="{8D214D9B-B6F5-4578-AEDD-F1E0B837AD3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6" name="Text Box 3">
          <a:extLst>
            <a:ext uri="{FF2B5EF4-FFF2-40B4-BE49-F238E27FC236}">
              <a16:creationId xmlns:a16="http://schemas.microsoft.com/office/drawing/2014/main" id="{BA3ABB18-C1B8-418F-8E62-1D0F8771BDB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7" name="Text Box 3">
          <a:extLst>
            <a:ext uri="{FF2B5EF4-FFF2-40B4-BE49-F238E27FC236}">
              <a16:creationId xmlns:a16="http://schemas.microsoft.com/office/drawing/2014/main" id="{DB0F5950-EC1F-4C4F-9C4F-A7B6AE54CDD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698" name="Text Box 3">
          <a:extLst>
            <a:ext uri="{FF2B5EF4-FFF2-40B4-BE49-F238E27FC236}">
              <a16:creationId xmlns:a16="http://schemas.microsoft.com/office/drawing/2014/main" id="{A06B5E01-2A14-48D3-989F-855C2E1919A0}"/>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699" name="Text Box 3">
          <a:extLst>
            <a:ext uri="{FF2B5EF4-FFF2-40B4-BE49-F238E27FC236}">
              <a16:creationId xmlns:a16="http://schemas.microsoft.com/office/drawing/2014/main" id="{69D9EC7E-61FF-4196-AC03-91AB682B707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0" name="Text Box 3">
          <a:extLst>
            <a:ext uri="{FF2B5EF4-FFF2-40B4-BE49-F238E27FC236}">
              <a16:creationId xmlns:a16="http://schemas.microsoft.com/office/drawing/2014/main" id="{FE759CD6-298E-49D3-BC04-1AC360AEAF85}"/>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1" name="Text Box 3">
          <a:extLst>
            <a:ext uri="{FF2B5EF4-FFF2-40B4-BE49-F238E27FC236}">
              <a16:creationId xmlns:a16="http://schemas.microsoft.com/office/drawing/2014/main" id="{9FAED726-EBAB-4A38-8A9B-8AB295BE3C3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2" name="Text Box 3">
          <a:extLst>
            <a:ext uri="{FF2B5EF4-FFF2-40B4-BE49-F238E27FC236}">
              <a16:creationId xmlns:a16="http://schemas.microsoft.com/office/drawing/2014/main" id="{3280CC84-BEFC-421C-BDF6-AA5C2179948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3" name="Text Box 3">
          <a:extLst>
            <a:ext uri="{FF2B5EF4-FFF2-40B4-BE49-F238E27FC236}">
              <a16:creationId xmlns:a16="http://schemas.microsoft.com/office/drawing/2014/main" id="{8D195F24-D2EF-4E15-BF01-CE19B0DB283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704" name="Text Box 3">
          <a:extLst>
            <a:ext uri="{FF2B5EF4-FFF2-40B4-BE49-F238E27FC236}">
              <a16:creationId xmlns:a16="http://schemas.microsoft.com/office/drawing/2014/main" id="{87E5B499-0FA1-457C-8C66-5F634DC361BE}"/>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5" name="Text Box 3">
          <a:extLst>
            <a:ext uri="{FF2B5EF4-FFF2-40B4-BE49-F238E27FC236}">
              <a16:creationId xmlns:a16="http://schemas.microsoft.com/office/drawing/2014/main" id="{17F11375-D04B-47FE-84B0-6C58F42AB08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06" name="Text Box 3">
          <a:extLst>
            <a:ext uri="{FF2B5EF4-FFF2-40B4-BE49-F238E27FC236}">
              <a16:creationId xmlns:a16="http://schemas.microsoft.com/office/drawing/2014/main" id="{98489DC0-5FD9-457E-9C70-DABC9DA65D32}"/>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0" name="Text Box 3">
          <a:extLst>
            <a:ext uri="{FF2B5EF4-FFF2-40B4-BE49-F238E27FC236}">
              <a16:creationId xmlns:a16="http://schemas.microsoft.com/office/drawing/2014/main" id="{C49BADB9-849C-42E8-B371-AAF8EF2FF004}"/>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1" name="Text Box 3">
          <a:extLst>
            <a:ext uri="{FF2B5EF4-FFF2-40B4-BE49-F238E27FC236}">
              <a16:creationId xmlns:a16="http://schemas.microsoft.com/office/drawing/2014/main" id="{806D7A43-9002-48C6-9AC3-7568E27CD676}"/>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2" name="Text Box 3">
          <a:extLst>
            <a:ext uri="{FF2B5EF4-FFF2-40B4-BE49-F238E27FC236}">
              <a16:creationId xmlns:a16="http://schemas.microsoft.com/office/drawing/2014/main" id="{D7B0D7F4-607D-4B5C-9790-0A5C1076071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753" name="Text Box 3">
          <a:extLst>
            <a:ext uri="{FF2B5EF4-FFF2-40B4-BE49-F238E27FC236}">
              <a16:creationId xmlns:a16="http://schemas.microsoft.com/office/drawing/2014/main" id="{D2402CBE-F2A8-4819-8714-ABF95708FD07}"/>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4" name="Text Box 3">
          <a:extLst>
            <a:ext uri="{FF2B5EF4-FFF2-40B4-BE49-F238E27FC236}">
              <a16:creationId xmlns:a16="http://schemas.microsoft.com/office/drawing/2014/main" id="{767566FA-D32D-4A30-A3FD-8288CB4566C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5" name="Text Box 3">
          <a:extLst>
            <a:ext uri="{FF2B5EF4-FFF2-40B4-BE49-F238E27FC236}">
              <a16:creationId xmlns:a16="http://schemas.microsoft.com/office/drawing/2014/main" id="{61632C17-C344-410D-9C03-080BE687D777}"/>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6" name="Text Box 3">
          <a:extLst>
            <a:ext uri="{FF2B5EF4-FFF2-40B4-BE49-F238E27FC236}">
              <a16:creationId xmlns:a16="http://schemas.microsoft.com/office/drawing/2014/main" id="{9A2B07E7-42D3-481B-871B-C676128AE275}"/>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7" name="Text Box 3">
          <a:extLst>
            <a:ext uri="{FF2B5EF4-FFF2-40B4-BE49-F238E27FC236}">
              <a16:creationId xmlns:a16="http://schemas.microsoft.com/office/drawing/2014/main" id="{A2ED5114-A8CC-4857-9342-C535D1CB947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58" name="Text Box 3">
          <a:extLst>
            <a:ext uri="{FF2B5EF4-FFF2-40B4-BE49-F238E27FC236}">
              <a16:creationId xmlns:a16="http://schemas.microsoft.com/office/drawing/2014/main" id="{E4724A3F-4BE4-4615-95E3-6BE72A69EA0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759" name="Text Box 3">
          <a:extLst>
            <a:ext uri="{FF2B5EF4-FFF2-40B4-BE49-F238E27FC236}">
              <a16:creationId xmlns:a16="http://schemas.microsoft.com/office/drawing/2014/main" id="{92E6B537-BBDF-4E25-95D8-AAB906FBA830}"/>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0" name="Text Box 3">
          <a:extLst>
            <a:ext uri="{FF2B5EF4-FFF2-40B4-BE49-F238E27FC236}">
              <a16:creationId xmlns:a16="http://schemas.microsoft.com/office/drawing/2014/main" id="{64628B87-40DE-4238-932F-E39DE5EFF9A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1" name="Text Box 3">
          <a:extLst>
            <a:ext uri="{FF2B5EF4-FFF2-40B4-BE49-F238E27FC236}">
              <a16:creationId xmlns:a16="http://schemas.microsoft.com/office/drawing/2014/main" id="{C8135CFF-FB2D-4D27-BC71-4002B2DA144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2" name="Text Box 3">
          <a:extLst>
            <a:ext uri="{FF2B5EF4-FFF2-40B4-BE49-F238E27FC236}">
              <a16:creationId xmlns:a16="http://schemas.microsoft.com/office/drawing/2014/main" id="{57B4C792-E658-4E28-9862-22A75998C9F2}"/>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3" name="Text Box 3">
          <a:extLst>
            <a:ext uri="{FF2B5EF4-FFF2-40B4-BE49-F238E27FC236}">
              <a16:creationId xmlns:a16="http://schemas.microsoft.com/office/drawing/2014/main" id="{7EBDA825-8501-49D4-B534-1C77ED0CA70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4" name="Text Box 3">
          <a:extLst>
            <a:ext uri="{FF2B5EF4-FFF2-40B4-BE49-F238E27FC236}">
              <a16:creationId xmlns:a16="http://schemas.microsoft.com/office/drawing/2014/main" id="{1C9AA01E-3EF7-43A1-B0E0-55BA22978A0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765" name="Text Box 3">
          <a:extLst>
            <a:ext uri="{FF2B5EF4-FFF2-40B4-BE49-F238E27FC236}">
              <a16:creationId xmlns:a16="http://schemas.microsoft.com/office/drawing/2014/main" id="{4930D9FA-EC73-452F-ACE9-FD16388ED33E}"/>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6" name="Text Box 3">
          <a:extLst>
            <a:ext uri="{FF2B5EF4-FFF2-40B4-BE49-F238E27FC236}">
              <a16:creationId xmlns:a16="http://schemas.microsoft.com/office/drawing/2014/main" id="{2F0931AF-F563-481E-B0DD-23D1B45A6E5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767" name="Text Box 3">
          <a:extLst>
            <a:ext uri="{FF2B5EF4-FFF2-40B4-BE49-F238E27FC236}">
              <a16:creationId xmlns:a16="http://schemas.microsoft.com/office/drawing/2014/main" id="{55D11399-C048-49D4-A87E-695693222AB3}"/>
            </a:ext>
          </a:extLst>
        </xdr:cNvPr>
        <xdr:cNvSpPr txBox="1">
          <a:spLocks noChangeArrowheads="1"/>
        </xdr:cNvSpPr>
      </xdr:nvSpPr>
      <xdr:spPr bwMode="auto">
        <a:xfrm>
          <a:off x="4273550" y="161099500"/>
          <a:ext cx="76200" cy="200025"/>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712" name="Text Box 4">
          <a:extLst>
            <a:ext uri="{FF2B5EF4-FFF2-40B4-BE49-F238E27FC236}">
              <a16:creationId xmlns:a16="http://schemas.microsoft.com/office/drawing/2014/main" id="{F0587F86-3DC5-405E-8190-5ABD998F74F5}"/>
            </a:ext>
          </a:extLst>
        </xdr:cNvPr>
        <xdr:cNvSpPr txBox="1">
          <a:spLocks noChangeArrowheads="1"/>
        </xdr:cNvSpPr>
      </xdr:nvSpPr>
      <xdr:spPr bwMode="auto">
        <a:xfrm>
          <a:off x="0" y="161099500"/>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13" name="Text Box 3">
          <a:extLst>
            <a:ext uri="{FF2B5EF4-FFF2-40B4-BE49-F238E27FC236}">
              <a16:creationId xmlns:a16="http://schemas.microsoft.com/office/drawing/2014/main" id="{E7F6067B-8531-492C-BB07-D77ABB87CC29}"/>
            </a:ext>
          </a:extLst>
        </xdr:cNvPr>
        <xdr:cNvSpPr txBox="1">
          <a:spLocks noChangeArrowheads="1"/>
        </xdr:cNvSpPr>
      </xdr:nvSpPr>
      <xdr:spPr bwMode="auto">
        <a:xfrm>
          <a:off x="4273550" y="160898417"/>
          <a:ext cx="76200" cy="196850"/>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714" name="Text Box 4">
          <a:extLst>
            <a:ext uri="{FF2B5EF4-FFF2-40B4-BE49-F238E27FC236}">
              <a16:creationId xmlns:a16="http://schemas.microsoft.com/office/drawing/2014/main" id="{803742DB-E545-44F5-A751-5840DADA7B0F}"/>
            </a:ext>
          </a:extLst>
        </xdr:cNvPr>
        <xdr:cNvSpPr txBox="1">
          <a:spLocks noChangeArrowheads="1"/>
        </xdr:cNvSpPr>
      </xdr:nvSpPr>
      <xdr:spPr bwMode="auto">
        <a:xfrm>
          <a:off x="0" y="160898417"/>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15" name="Text Box 3">
          <a:extLst>
            <a:ext uri="{FF2B5EF4-FFF2-40B4-BE49-F238E27FC236}">
              <a16:creationId xmlns:a16="http://schemas.microsoft.com/office/drawing/2014/main" id="{5E949FDB-5625-474A-B740-C26FE50FBF2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16" name="Text Box 3">
          <a:extLst>
            <a:ext uri="{FF2B5EF4-FFF2-40B4-BE49-F238E27FC236}">
              <a16:creationId xmlns:a16="http://schemas.microsoft.com/office/drawing/2014/main" id="{9181EBC4-E225-46C6-A5B6-AA80632DA31B}"/>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17" name="Text Box 3">
          <a:extLst>
            <a:ext uri="{FF2B5EF4-FFF2-40B4-BE49-F238E27FC236}">
              <a16:creationId xmlns:a16="http://schemas.microsoft.com/office/drawing/2014/main" id="{C8A5D2E4-D585-4A17-AEE8-58D11FF0F44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18" name="Text Box 3">
          <a:extLst>
            <a:ext uri="{FF2B5EF4-FFF2-40B4-BE49-F238E27FC236}">
              <a16:creationId xmlns:a16="http://schemas.microsoft.com/office/drawing/2014/main" id="{93B29E3C-EE77-486D-8353-8EA284ED420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19" name="Text Box 3">
          <a:extLst>
            <a:ext uri="{FF2B5EF4-FFF2-40B4-BE49-F238E27FC236}">
              <a16:creationId xmlns:a16="http://schemas.microsoft.com/office/drawing/2014/main" id="{C4FB8B68-809A-4F24-9EB8-912796F5CD0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0" name="Text Box 3">
          <a:extLst>
            <a:ext uri="{FF2B5EF4-FFF2-40B4-BE49-F238E27FC236}">
              <a16:creationId xmlns:a16="http://schemas.microsoft.com/office/drawing/2014/main" id="{20E3E3C1-2CFB-4A8C-A2BF-6F8EC5950AF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1" name="Text Box 3">
          <a:extLst>
            <a:ext uri="{FF2B5EF4-FFF2-40B4-BE49-F238E27FC236}">
              <a16:creationId xmlns:a16="http://schemas.microsoft.com/office/drawing/2014/main" id="{DB97EEED-59B4-404C-9B83-1B6F685F19CA}"/>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22" name="Text Box 3">
          <a:extLst>
            <a:ext uri="{FF2B5EF4-FFF2-40B4-BE49-F238E27FC236}">
              <a16:creationId xmlns:a16="http://schemas.microsoft.com/office/drawing/2014/main" id="{659E20C5-3718-41F2-BCE8-77B8D1779EB3}"/>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3" name="Text Box 3">
          <a:extLst>
            <a:ext uri="{FF2B5EF4-FFF2-40B4-BE49-F238E27FC236}">
              <a16:creationId xmlns:a16="http://schemas.microsoft.com/office/drawing/2014/main" id="{B01BE8D5-3D5B-430C-B77C-B2D39326B718}"/>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4" name="Text Box 3">
          <a:extLst>
            <a:ext uri="{FF2B5EF4-FFF2-40B4-BE49-F238E27FC236}">
              <a16:creationId xmlns:a16="http://schemas.microsoft.com/office/drawing/2014/main" id="{763C0EE8-1504-49E0-A437-F26917B2AD4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5" name="Text Box 3">
          <a:extLst>
            <a:ext uri="{FF2B5EF4-FFF2-40B4-BE49-F238E27FC236}">
              <a16:creationId xmlns:a16="http://schemas.microsoft.com/office/drawing/2014/main" id="{54176DEC-782B-4E73-A044-D1C6A431108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6" name="Text Box 3">
          <a:extLst>
            <a:ext uri="{FF2B5EF4-FFF2-40B4-BE49-F238E27FC236}">
              <a16:creationId xmlns:a16="http://schemas.microsoft.com/office/drawing/2014/main" id="{70EAD2E5-BCD7-4210-85D4-80A5359F75B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7" name="Text Box 3">
          <a:extLst>
            <a:ext uri="{FF2B5EF4-FFF2-40B4-BE49-F238E27FC236}">
              <a16:creationId xmlns:a16="http://schemas.microsoft.com/office/drawing/2014/main" id="{387A5A14-84A5-4727-ADF4-88F0AA7D6E2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28" name="Text Box 3">
          <a:extLst>
            <a:ext uri="{FF2B5EF4-FFF2-40B4-BE49-F238E27FC236}">
              <a16:creationId xmlns:a16="http://schemas.microsoft.com/office/drawing/2014/main" id="{BC0C3440-8495-4F4B-A89E-D96B0F08E1FE}"/>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29" name="Text Box 3">
          <a:extLst>
            <a:ext uri="{FF2B5EF4-FFF2-40B4-BE49-F238E27FC236}">
              <a16:creationId xmlns:a16="http://schemas.microsoft.com/office/drawing/2014/main" id="{284729B6-5919-4902-97D0-594A6C9478A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0" name="Text Box 3">
          <a:extLst>
            <a:ext uri="{FF2B5EF4-FFF2-40B4-BE49-F238E27FC236}">
              <a16:creationId xmlns:a16="http://schemas.microsoft.com/office/drawing/2014/main" id="{7BE2C84E-9C05-4269-BECD-4C7264AE175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1" name="Text Box 3">
          <a:extLst>
            <a:ext uri="{FF2B5EF4-FFF2-40B4-BE49-F238E27FC236}">
              <a16:creationId xmlns:a16="http://schemas.microsoft.com/office/drawing/2014/main" id="{26DD7698-5FF7-42D0-BEFC-CDC6E999C02F}"/>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2" name="Text Box 3">
          <a:extLst>
            <a:ext uri="{FF2B5EF4-FFF2-40B4-BE49-F238E27FC236}">
              <a16:creationId xmlns:a16="http://schemas.microsoft.com/office/drawing/2014/main" id="{9FD68B39-9F32-4B95-B665-47E3A2105829}"/>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3" name="Text Box 3">
          <a:extLst>
            <a:ext uri="{FF2B5EF4-FFF2-40B4-BE49-F238E27FC236}">
              <a16:creationId xmlns:a16="http://schemas.microsoft.com/office/drawing/2014/main" id="{64635A87-AD7E-4906-8A17-1A9BC680CA7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34" name="Text Box 3">
          <a:extLst>
            <a:ext uri="{FF2B5EF4-FFF2-40B4-BE49-F238E27FC236}">
              <a16:creationId xmlns:a16="http://schemas.microsoft.com/office/drawing/2014/main" id="{C79C333B-0B0B-4286-8A7D-3FDD9EDA4F47}"/>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5" name="Text Box 3">
          <a:extLst>
            <a:ext uri="{FF2B5EF4-FFF2-40B4-BE49-F238E27FC236}">
              <a16:creationId xmlns:a16="http://schemas.microsoft.com/office/drawing/2014/main" id="{66E5AFD3-CF54-4CB0-8753-1C1939A479A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6" name="Text Box 3">
          <a:extLst>
            <a:ext uri="{FF2B5EF4-FFF2-40B4-BE49-F238E27FC236}">
              <a16:creationId xmlns:a16="http://schemas.microsoft.com/office/drawing/2014/main" id="{62129068-5584-49A5-9800-E5A0B8808F7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7" name="Text Box 3">
          <a:extLst>
            <a:ext uri="{FF2B5EF4-FFF2-40B4-BE49-F238E27FC236}">
              <a16:creationId xmlns:a16="http://schemas.microsoft.com/office/drawing/2014/main" id="{539562D9-FCDD-4EC0-8897-12E6D046601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8" name="Text Box 3">
          <a:extLst>
            <a:ext uri="{FF2B5EF4-FFF2-40B4-BE49-F238E27FC236}">
              <a16:creationId xmlns:a16="http://schemas.microsoft.com/office/drawing/2014/main" id="{2218C0C1-B306-482E-A7A8-360271434C4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39" name="Text Box 3">
          <a:extLst>
            <a:ext uri="{FF2B5EF4-FFF2-40B4-BE49-F238E27FC236}">
              <a16:creationId xmlns:a16="http://schemas.microsoft.com/office/drawing/2014/main" id="{FB2328C8-CA05-4590-B8AD-FE6D9666580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40" name="Text Box 3">
          <a:extLst>
            <a:ext uri="{FF2B5EF4-FFF2-40B4-BE49-F238E27FC236}">
              <a16:creationId xmlns:a16="http://schemas.microsoft.com/office/drawing/2014/main" id="{3D4909FC-843C-4C4F-BCB6-F3B558EE7A89}"/>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41" name="Text Box 3">
          <a:extLst>
            <a:ext uri="{FF2B5EF4-FFF2-40B4-BE49-F238E27FC236}">
              <a16:creationId xmlns:a16="http://schemas.microsoft.com/office/drawing/2014/main" id="{EEF8F2D3-6A2C-44ED-BF81-7FE8A22129E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42" name="Text Box 3">
          <a:extLst>
            <a:ext uri="{FF2B5EF4-FFF2-40B4-BE49-F238E27FC236}">
              <a16:creationId xmlns:a16="http://schemas.microsoft.com/office/drawing/2014/main" id="{D8252705-43DA-4A58-A288-A4AA5CABDD3D}"/>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43" name="Text Box 3">
          <a:extLst>
            <a:ext uri="{FF2B5EF4-FFF2-40B4-BE49-F238E27FC236}">
              <a16:creationId xmlns:a16="http://schemas.microsoft.com/office/drawing/2014/main" id="{C727EAC1-3A87-4C5D-A939-FD92633029B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44" name="Text Box 3">
          <a:extLst>
            <a:ext uri="{FF2B5EF4-FFF2-40B4-BE49-F238E27FC236}">
              <a16:creationId xmlns:a16="http://schemas.microsoft.com/office/drawing/2014/main" id="{5478A81F-E69C-4847-B569-54811A3DC5A0}"/>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45" name="Text Box 3">
          <a:extLst>
            <a:ext uri="{FF2B5EF4-FFF2-40B4-BE49-F238E27FC236}">
              <a16:creationId xmlns:a16="http://schemas.microsoft.com/office/drawing/2014/main" id="{A63DBD69-CDDE-4119-A87B-6DC5B7FF63A7}"/>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46" name="Text Box 3">
          <a:extLst>
            <a:ext uri="{FF2B5EF4-FFF2-40B4-BE49-F238E27FC236}">
              <a16:creationId xmlns:a16="http://schemas.microsoft.com/office/drawing/2014/main" id="{D03BC3C6-FC3A-49B8-9839-7A7FBA6F1D38}"/>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57" name="Text Box 3">
          <a:extLst>
            <a:ext uri="{FF2B5EF4-FFF2-40B4-BE49-F238E27FC236}">
              <a16:creationId xmlns:a16="http://schemas.microsoft.com/office/drawing/2014/main" id="{E24A2915-BE22-46F0-9EAD-57B879FD4A9E}"/>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58" name="Text Box 3">
          <a:extLst>
            <a:ext uri="{FF2B5EF4-FFF2-40B4-BE49-F238E27FC236}">
              <a16:creationId xmlns:a16="http://schemas.microsoft.com/office/drawing/2014/main" id="{32C3704D-5BFE-42A7-B9B9-6E78400927AC}"/>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59" name="Text Box 3">
          <a:extLst>
            <a:ext uri="{FF2B5EF4-FFF2-40B4-BE49-F238E27FC236}">
              <a16:creationId xmlns:a16="http://schemas.microsoft.com/office/drawing/2014/main" id="{005E4B80-D22D-458F-B35C-1882C857002B}"/>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60" name="Text Box 3">
          <a:extLst>
            <a:ext uri="{FF2B5EF4-FFF2-40B4-BE49-F238E27FC236}">
              <a16:creationId xmlns:a16="http://schemas.microsoft.com/office/drawing/2014/main" id="{9C79C2EF-9B1B-4A41-8B39-5B614FE9AD97}"/>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61" name="Text Box 3">
          <a:extLst>
            <a:ext uri="{FF2B5EF4-FFF2-40B4-BE49-F238E27FC236}">
              <a16:creationId xmlns:a16="http://schemas.microsoft.com/office/drawing/2014/main" id="{502B16C3-49B3-4266-B148-8134988A9201}"/>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62" name="Text Box 3">
          <a:extLst>
            <a:ext uri="{FF2B5EF4-FFF2-40B4-BE49-F238E27FC236}">
              <a16:creationId xmlns:a16="http://schemas.microsoft.com/office/drawing/2014/main" id="{F65BFB38-67F5-490C-A6F1-E2C6711E9DAC}"/>
            </a:ext>
          </a:extLst>
        </xdr:cNvPr>
        <xdr:cNvSpPr txBox="1">
          <a:spLocks noChangeArrowheads="1"/>
        </xdr:cNvSpPr>
      </xdr:nvSpPr>
      <xdr:spPr bwMode="auto">
        <a:xfrm>
          <a:off x="4273550" y="160739667"/>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63" name="Text Box 3">
          <a:extLst>
            <a:ext uri="{FF2B5EF4-FFF2-40B4-BE49-F238E27FC236}">
              <a16:creationId xmlns:a16="http://schemas.microsoft.com/office/drawing/2014/main" id="{0742EBC8-F3B2-4F39-99BF-CDD4CAADC8E3}"/>
            </a:ext>
          </a:extLst>
        </xdr:cNvPr>
        <xdr:cNvSpPr txBox="1">
          <a:spLocks noChangeArrowheads="1"/>
        </xdr:cNvSpPr>
      </xdr:nvSpPr>
      <xdr:spPr bwMode="auto">
        <a:xfrm>
          <a:off x="4273550" y="160739667"/>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64" name="Text Box 3">
          <a:extLst>
            <a:ext uri="{FF2B5EF4-FFF2-40B4-BE49-F238E27FC236}">
              <a16:creationId xmlns:a16="http://schemas.microsoft.com/office/drawing/2014/main" id="{6258388E-99A2-4EA8-B5E5-489845B20D58}"/>
            </a:ext>
          </a:extLst>
        </xdr:cNvPr>
        <xdr:cNvSpPr txBox="1">
          <a:spLocks noChangeArrowheads="1"/>
        </xdr:cNvSpPr>
      </xdr:nvSpPr>
      <xdr:spPr bwMode="auto">
        <a:xfrm>
          <a:off x="4273550" y="161099500"/>
          <a:ext cx="76200" cy="200025"/>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765" name="Text Box 4">
          <a:extLst>
            <a:ext uri="{FF2B5EF4-FFF2-40B4-BE49-F238E27FC236}">
              <a16:creationId xmlns:a16="http://schemas.microsoft.com/office/drawing/2014/main" id="{4DE4908E-DC89-48E5-BA5E-AF95684E730D}"/>
            </a:ext>
          </a:extLst>
        </xdr:cNvPr>
        <xdr:cNvSpPr txBox="1">
          <a:spLocks noChangeArrowheads="1"/>
        </xdr:cNvSpPr>
      </xdr:nvSpPr>
      <xdr:spPr bwMode="auto">
        <a:xfrm>
          <a:off x="0" y="161099500"/>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66" name="Text Box 3">
          <a:extLst>
            <a:ext uri="{FF2B5EF4-FFF2-40B4-BE49-F238E27FC236}">
              <a16:creationId xmlns:a16="http://schemas.microsoft.com/office/drawing/2014/main" id="{DEF34ACB-2D67-4C68-A70F-D830BE59F8FE}"/>
            </a:ext>
          </a:extLst>
        </xdr:cNvPr>
        <xdr:cNvSpPr txBox="1">
          <a:spLocks noChangeArrowheads="1"/>
        </xdr:cNvSpPr>
      </xdr:nvSpPr>
      <xdr:spPr bwMode="auto">
        <a:xfrm>
          <a:off x="4273550" y="160898417"/>
          <a:ext cx="76200" cy="196850"/>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767" name="Text Box 4">
          <a:extLst>
            <a:ext uri="{FF2B5EF4-FFF2-40B4-BE49-F238E27FC236}">
              <a16:creationId xmlns:a16="http://schemas.microsoft.com/office/drawing/2014/main" id="{49C778D1-BEB9-4726-A857-F8D27EC76157}"/>
            </a:ext>
          </a:extLst>
        </xdr:cNvPr>
        <xdr:cNvSpPr txBox="1">
          <a:spLocks noChangeArrowheads="1"/>
        </xdr:cNvSpPr>
      </xdr:nvSpPr>
      <xdr:spPr bwMode="auto">
        <a:xfrm>
          <a:off x="0" y="160898417"/>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68" name="Text Box 3">
          <a:extLst>
            <a:ext uri="{FF2B5EF4-FFF2-40B4-BE49-F238E27FC236}">
              <a16:creationId xmlns:a16="http://schemas.microsoft.com/office/drawing/2014/main" id="{9AC6E5A4-8027-4E80-8B5C-0CEAC23C9B99}"/>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69" name="Text Box 3">
          <a:extLst>
            <a:ext uri="{FF2B5EF4-FFF2-40B4-BE49-F238E27FC236}">
              <a16:creationId xmlns:a16="http://schemas.microsoft.com/office/drawing/2014/main" id="{53D045B1-845E-48C9-94D3-8116AFB9B97C}"/>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0" name="Text Box 3">
          <a:extLst>
            <a:ext uri="{FF2B5EF4-FFF2-40B4-BE49-F238E27FC236}">
              <a16:creationId xmlns:a16="http://schemas.microsoft.com/office/drawing/2014/main" id="{81D99AA9-60AF-4F5E-88B3-40E9B18E15CD}"/>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1" name="Text Box 3">
          <a:extLst>
            <a:ext uri="{FF2B5EF4-FFF2-40B4-BE49-F238E27FC236}">
              <a16:creationId xmlns:a16="http://schemas.microsoft.com/office/drawing/2014/main" id="{CF71C155-7C37-49AF-A1CB-762150F3FA69}"/>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2" name="Text Box 3">
          <a:extLst>
            <a:ext uri="{FF2B5EF4-FFF2-40B4-BE49-F238E27FC236}">
              <a16:creationId xmlns:a16="http://schemas.microsoft.com/office/drawing/2014/main" id="{B5429F01-CD75-462F-B121-2C19D1FB511F}"/>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3" name="Text Box 3">
          <a:extLst>
            <a:ext uri="{FF2B5EF4-FFF2-40B4-BE49-F238E27FC236}">
              <a16:creationId xmlns:a16="http://schemas.microsoft.com/office/drawing/2014/main" id="{0F8244EB-332C-409C-9889-EDAB02FC32DB}"/>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4" name="Text Box 3">
          <a:extLst>
            <a:ext uri="{FF2B5EF4-FFF2-40B4-BE49-F238E27FC236}">
              <a16:creationId xmlns:a16="http://schemas.microsoft.com/office/drawing/2014/main" id="{994D8DC7-F130-47DF-B174-3DA04F24462A}"/>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75" name="Text Box 3">
          <a:extLst>
            <a:ext uri="{FF2B5EF4-FFF2-40B4-BE49-F238E27FC236}">
              <a16:creationId xmlns:a16="http://schemas.microsoft.com/office/drawing/2014/main" id="{C4437339-1BE9-49B0-ADB9-595893A6CC19}"/>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6" name="Text Box 3">
          <a:extLst>
            <a:ext uri="{FF2B5EF4-FFF2-40B4-BE49-F238E27FC236}">
              <a16:creationId xmlns:a16="http://schemas.microsoft.com/office/drawing/2014/main" id="{B7DC7E21-5DB4-4C36-BAEC-B0EBB8539D77}"/>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7" name="Text Box 3">
          <a:extLst>
            <a:ext uri="{FF2B5EF4-FFF2-40B4-BE49-F238E27FC236}">
              <a16:creationId xmlns:a16="http://schemas.microsoft.com/office/drawing/2014/main" id="{8D87A9CE-F38B-4F20-8540-2F2FB2CE9FB7}"/>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8" name="Text Box 3">
          <a:extLst>
            <a:ext uri="{FF2B5EF4-FFF2-40B4-BE49-F238E27FC236}">
              <a16:creationId xmlns:a16="http://schemas.microsoft.com/office/drawing/2014/main" id="{49EC7C4A-817A-4D57-80B9-859687C7E96A}"/>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79" name="Text Box 3">
          <a:extLst>
            <a:ext uri="{FF2B5EF4-FFF2-40B4-BE49-F238E27FC236}">
              <a16:creationId xmlns:a16="http://schemas.microsoft.com/office/drawing/2014/main" id="{942DE724-482A-4050-BC9E-3B40AD35563D}"/>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0" name="Text Box 3">
          <a:extLst>
            <a:ext uri="{FF2B5EF4-FFF2-40B4-BE49-F238E27FC236}">
              <a16:creationId xmlns:a16="http://schemas.microsoft.com/office/drawing/2014/main" id="{DC1B3E93-684B-45FE-98B1-DB082784C803}"/>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81" name="Text Box 3">
          <a:extLst>
            <a:ext uri="{FF2B5EF4-FFF2-40B4-BE49-F238E27FC236}">
              <a16:creationId xmlns:a16="http://schemas.microsoft.com/office/drawing/2014/main" id="{3FA3E1D7-5CFC-4FC9-A90A-E76ACC3DF49F}"/>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2" name="Text Box 3">
          <a:extLst>
            <a:ext uri="{FF2B5EF4-FFF2-40B4-BE49-F238E27FC236}">
              <a16:creationId xmlns:a16="http://schemas.microsoft.com/office/drawing/2014/main" id="{A9E1BCD4-876C-4F73-A303-230D76A0B392}"/>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3" name="Text Box 3">
          <a:extLst>
            <a:ext uri="{FF2B5EF4-FFF2-40B4-BE49-F238E27FC236}">
              <a16:creationId xmlns:a16="http://schemas.microsoft.com/office/drawing/2014/main" id="{93A7650F-4390-4A38-A9FD-FE31D6DEFF5A}"/>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4" name="Text Box 3">
          <a:extLst>
            <a:ext uri="{FF2B5EF4-FFF2-40B4-BE49-F238E27FC236}">
              <a16:creationId xmlns:a16="http://schemas.microsoft.com/office/drawing/2014/main" id="{1222A719-D57E-400F-9254-F85BAC8D409C}"/>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5" name="Text Box 3">
          <a:extLst>
            <a:ext uri="{FF2B5EF4-FFF2-40B4-BE49-F238E27FC236}">
              <a16:creationId xmlns:a16="http://schemas.microsoft.com/office/drawing/2014/main" id="{39829D37-7187-4F22-834C-5B0FB995A669}"/>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6" name="Text Box 3">
          <a:extLst>
            <a:ext uri="{FF2B5EF4-FFF2-40B4-BE49-F238E27FC236}">
              <a16:creationId xmlns:a16="http://schemas.microsoft.com/office/drawing/2014/main" id="{A33E346F-D56D-4BBD-A948-5C150F9B6202}"/>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87" name="Text Box 3">
          <a:extLst>
            <a:ext uri="{FF2B5EF4-FFF2-40B4-BE49-F238E27FC236}">
              <a16:creationId xmlns:a16="http://schemas.microsoft.com/office/drawing/2014/main" id="{4A9761AA-9A7F-47B0-84C2-DAA0C9678E27}"/>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8" name="Text Box 3">
          <a:extLst>
            <a:ext uri="{FF2B5EF4-FFF2-40B4-BE49-F238E27FC236}">
              <a16:creationId xmlns:a16="http://schemas.microsoft.com/office/drawing/2014/main" id="{5FEAAA4B-A83E-4BEC-B877-F1447D7EE4BE}"/>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89" name="Text Box 3">
          <a:extLst>
            <a:ext uri="{FF2B5EF4-FFF2-40B4-BE49-F238E27FC236}">
              <a16:creationId xmlns:a16="http://schemas.microsoft.com/office/drawing/2014/main" id="{104F6EDA-2E6B-48B2-85B0-7A7AB89C2166}"/>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0" name="Text Box 3">
          <a:extLst>
            <a:ext uri="{FF2B5EF4-FFF2-40B4-BE49-F238E27FC236}">
              <a16:creationId xmlns:a16="http://schemas.microsoft.com/office/drawing/2014/main" id="{A251134D-BC35-46D2-9908-87EA9846718D}"/>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1" name="Text Box 3">
          <a:extLst>
            <a:ext uri="{FF2B5EF4-FFF2-40B4-BE49-F238E27FC236}">
              <a16:creationId xmlns:a16="http://schemas.microsoft.com/office/drawing/2014/main" id="{FD6A1F69-4EFA-473A-B799-CD0F224DF7E7}"/>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2" name="Text Box 3">
          <a:extLst>
            <a:ext uri="{FF2B5EF4-FFF2-40B4-BE49-F238E27FC236}">
              <a16:creationId xmlns:a16="http://schemas.microsoft.com/office/drawing/2014/main" id="{23CD2802-5C8C-496D-A0B3-F6639D26BDB8}"/>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93" name="Text Box 3">
          <a:extLst>
            <a:ext uri="{FF2B5EF4-FFF2-40B4-BE49-F238E27FC236}">
              <a16:creationId xmlns:a16="http://schemas.microsoft.com/office/drawing/2014/main" id="{EA4122B9-9634-4FFF-9B82-964709A9D866}"/>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4" name="Text Box 3">
          <a:extLst>
            <a:ext uri="{FF2B5EF4-FFF2-40B4-BE49-F238E27FC236}">
              <a16:creationId xmlns:a16="http://schemas.microsoft.com/office/drawing/2014/main" id="{F4A1CA97-E8ED-4CAD-8E07-E2E3B0667868}"/>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5" name="Text Box 3">
          <a:extLst>
            <a:ext uri="{FF2B5EF4-FFF2-40B4-BE49-F238E27FC236}">
              <a16:creationId xmlns:a16="http://schemas.microsoft.com/office/drawing/2014/main" id="{D6D9C0BD-3A92-438A-B507-07684ECB477E}"/>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6" name="Text Box 3">
          <a:extLst>
            <a:ext uri="{FF2B5EF4-FFF2-40B4-BE49-F238E27FC236}">
              <a16:creationId xmlns:a16="http://schemas.microsoft.com/office/drawing/2014/main" id="{49301474-8EAD-45C8-BF0C-2655E40C0E54}"/>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7" name="Text Box 3">
          <a:extLst>
            <a:ext uri="{FF2B5EF4-FFF2-40B4-BE49-F238E27FC236}">
              <a16:creationId xmlns:a16="http://schemas.microsoft.com/office/drawing/2014/main" id="{724C6686-E55A-477C-8935-787F151A6EA2}"/>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798" name="Text Box 3">
          <a:extLst>
            <a:ext uri="{FF2B5EF4-FFF2-40B4-BE49-F238E27FC236}">
              <a16:creationId xmlns:a16="http://schemas.microsoft.com/office/drawing/2014/main" id="{7CC3E104-3661-4585-BB29-DEFE03695CF4}"/>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799" name="Text Box 3">
          <a:extLst>
            <a:ext uri="{FF2B5EF4-FFF2-40B4-BE49-F238E27FC236}">
              <a16:creationId xmlns:a16="http://schemas.microsoft.com/office/drawing/2014/main" id="{7E167254-684D-4BB1-BE92-B9D6441159A0}"/>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0" name="Text Box 3">
          <a:extLst>
            <a:ext uri="{FF2B5EF4-FFF2-40B4-BE49-F238E27FC236}">
              <a16:creationId xmlns:a16="http://schemas.microsoft.com/office/drawing/2014/main" id="{2E43C7AD-47A3-4B0A-BD3A-4FD9B47AA6AE}"/>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1" name="Text Box 3">
          <a:extLst>
            <a:ext uri="{FF2B5EF4-FFF2-40B4-BE49-F238E27FC236}">
              <a16:creationId xmlns:a16="http://schemas.microsoft.com/office/drawing/2014/main" id="{560F4D02-F1B5-428D-B24B-0D7057D63819}"/>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2" name="Text Box 3">
          <a:extLst>
            <a:ext uri="{FF2B5EF4-FFF2-40B4-BE49-F238E27FC236}">
              <a16:creationId xmlns:a16="http://schemas.microsoft.com/office/drawing/2014/main" id="{6A693251-5BE4-48FD-AF1C-6318216AAA34}"/>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3" name="Text Box 3">
          <a:extLst>
            <a:ext uri="{FF2B5EF4-FFF2-40B4-BE49-F238E27FC236}">
              <a16:creationId xmlns:a16="http://schemas.microsoft.com/office/drawing/2014/main" id="{3B124F60-2C83-4437-99B2-0E806E6C7EBD}"/>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4" name="Text Box 3">
          <a:extLst>
            <a:ext uri="{FF2B5EF4-FFF2-40B4-BE49-F238E27FC236}">
              <a16:creationId xmlns:a16="http://schemas.microsoft.com/office/drawing/2014/main" id="{1EDE12FD-B95B-426C-8E6E-EF021DC370CC}"/>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805" name="Text Box 3">
          <a:extLst>
            <a:ext uri="{FF2B5EF4-FFF2-40B4-BE49-F238E27FC236}">
              <a16:creationId xmlns:a16="http://schemas.microsoft.com/office/drawing/2014/main" id="{CA69F0D2-D8F1-4F53-9182-2DF17A902F79}"/>
            </a:ext>
          </a:extLst>
        </xdr:cNvPr>
        <xdr:cNvSpPr txBox="1">
          <a:spLocks noChangeArrowheads="1"/>
        </xdr:cNvSpPr>
      </xdr:nvSpPr>
      <xdr:spPr bwMode="auto">
        <a:xfrm>
          <a:off x="4273550" y="179366333"/>
          <a:ext cx="76200" cy="196850"/>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6" name="Text Box 3">
          <a:extLst>
            <a:ext uri="{FF2B5EF4-FFF2-40B4-BE49-F238E27FC236}">
              <a16:creationId xmlns:a16="http://schemas.microsoft.com/office/drawing/2014/main" id="{9E78529B-7E8A-4D1C-9D1E-A9C14E79EA9D}"/>
            </a:ext>
          </a:extLst>
        </xdr:cNvPr>
        <xdr:cNvSpPr txBox="1">
          <a:spLocks noChangeArrowheads="1"/>
        </xdr:cNvSpPr>
      </xdr:nvSpPr>
      <xdr:spPr bwMode="auto">
        <a:xfrm>
          <a:off x="4273550" y="179366333"/>
          <a:ext cx="76200" cy="200025"/>
        </a:xfrm>
        <a:prstGeom prst="rect">
          <a:avLst/>
        </a:prstGeom>
        <a:noFill/>
        <a:ln w="9525">
          <a:noFill/>
          <a:miter lim="800000"/>
          <a:headEnd/>
          <a:tailEnd/>
        </a:ln>
      </xdr:spPr>
    </xdr:sp>
    <xdr:clientData/>
  </xdr:oneCellAnchor>
  <xdr:oneCellAnchor>
    <xdr:from>
      <xdr:col>6</xdr:col>
      <xdr:colOff>590550</xdr:colOff>
      <xdr:row>984</xdr:row>
      <xdr:rowOff>0</xdr:rowOff>
    </xdr:from>
    <xdr:ext cx="76200" cy="200025"/>
    <xdr:sp macro="" textlink="">
      <xdr:nvSpPr>
        <xdr:cNvPr id="19807" name="Text Box 3">
          <a:extLst>
            <a:ext uri="{FF2B5EF4-FFF2-40B4-BE49-F238E27FC236}">
              <a16:creationId xmlns:a16="http://schemas.microsoft.com/office/drawing/2014/main" id="{AD95FF8E-2BDF-45A7-8B9F-91624918BC5B}"/>
            </a:ext>
          </a:extLst>
        </xdr:cNvPr>
        <xdr:cNvSpPr txBox="1">
          <a:spLocks noChangeArrowheads="1"/>
        </xdr:cNvSpPr>
      </xdr:nvSpPr>
      <xdr:spPr bwMode="auto">
        <a:xfrm>
          <a:off x="4273550" y="179726167"/>
          <a:ext cx="76200" cy="200025"/>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808" name="Text Box 4">
          <a:extLst>
            <a:ext uri="{FF2B5EF4-FFF2-40B4-BE49-F238E27FC236}">
              <a16:creationId xmlns:a16="http://schemas.microsoft.com/office/drawing/2014/main" id="{AD5047F4-16FB-45B4-9958-73AF2376B31D}"/>
            </a:ext>
          </a:extLst>
        </xdr:cNvPr>
        <xdr:cNvSpPr txBox="1">
          <a:spLocks noChangeArrowheads="1"/>
        </xdr:cNvSpPr>
      </xdr:nvSpPr>
      <xdr:spPr bwMode="auto">
        <a:xfrm>
          <a:off x="0" y="179726167"/>
          <a:ext cx="28575" cy="104775"/>
        </a:xfrm>
        <a:prstGeom prst="rect">
          <a:avLst/>
        </a:prstGeom>
        <a:noFill/>
        <a:ln w="9525">
          <a:noFill/>
          <a:miter lim="800000"/>
          <a:headEnd/>
          <a:tailEnd/>
        </a:ln>
      </xdr:spPr>
    </xdr:sp>
    <xdr:clientData/>
  </xdr:oneCellAnchor>
  <xdr:oneCellAnchor>
    <xdr:from>
      <xdr:col>6</xdr:col>
      <xdr:colOff>590550</xdr:colOff>
      <xdr:row>984</xdr:row>
      <xdr:rowOff>0</xdr:rowOff>
    </xdr:from>
    <xdr:ext cx="76200" cy="196850"/>
    <xdr:sp macro="" textlink="">
      <xdr:nvSpPr>
        <xdr:cNvPr id="19809" name="Text Box 3">
          <a:extLst>
            <a:ext uri="{FF2B5EF4-FFF2-40B4-BE49-F238E27FC236}">
              <a16:creationId xmlns:a16="http://schemas.microsoft.com/office/drawing/2014/main" id="{A9D3A58C-FDC9-49D1-BAAD-35E0F464FD84}"/>
            </a:ext>
          </a:extLst>
        </xdr:cNvPr>
        <xdr:cNvSpPr txBox="1">
          <a:spLocks noChangeArrowheads="1"/>
        </xdr:cNvSpPr>
      </xdr:nvSpPr>
      <xdr:spPr bwMode="auto">
        <a:xfrm>
          <a:off x="4273550" y="179525083"/>
          <a:ext cx="76200" cy="196850"/>
        </a:xfrm>
        <a:prstGeom prst="rect">
          <a:avLst/>
        </a:prstGeom>
        <a:noFill/>
        <a:ln w="9525">
          <a:noFill/>
          <a:miter lim="800000"/>
          <a:headEnd/>
          <a:tailEnd/>
        </a:ln>
      </xdr:spPr>
    </xdr:sp>
    <xdr:clientData/>
  </xdr:oneCellAnchor>
  <xdr:oneCellAnchor>
    <xdr:from>
      <xdr:col>0</xdr:col>
      <xdr:colOff>0</xdr:colOff>
      <xdr:row>984</xdr:row>
      <xdr:rowOff>0</xdr:rowOff>
    </xdr:from>
    <xdr:ext cx="28575" cy="104775"/>
    <xdr:sp macro="" textlink="">
      <xdr:nvSpPr>
        <xdr:cNvPr id="19810" name="Text Box 4">
          <a:extLst>
            <a:ext uri="{FF2B5EF4-FFF2-40B4-BE49-F238E27FC236}">
              <a16:creationId xmlns:a16="http://schemas.microsoft.com/office/drawing/2014/main" id="{C3A4DA13-5FF6-43D1-94AC-A2BDA18742D0}"/>
            </a:ext>
          </a:extLst>
        </xdr:cNvPr>
        <xdr:cNvSpPr txBox="1">
          <a:spLocks noChangeArrowheads="1"/>
        </xdr:cNvSpPr>
      </xdr:nvSpPr>
      <xdr:spPr bwMode="auto">
        <a:xfrm>
          <a:off x="0" y="179525083"/>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aron.hawkins@probation.lacounty.gov" TargetMode="External"/><Relationship Id="rId1" Type="http://schemas.openxmlformats.org/officeDocument/2006/relationships/hyperlink" Target="mailto:sharon.harada@probation.lacounty.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7" activePane="bottomLeft" state="frozen"/>
      <selection pane="bottomLeft" activeCell="A19" sqref="A19:J20"/>
    </sheetView>
  </sheetViews>
  <sheetFormatPr defaultColWidth="8.85546875" defaultRowHeight="12.75" x14ac:dyDescent="0.2"/>
  <cols>
    <col min="1" max="1" width="9.85546875" customWidth="1"/>
    <col min="3" max="3" width="6" customWidth="1"/>
    <col min="4" max="10" width="10.28515625" customWidth="1"/>
  </cols>
  <sheetData>
    <row r="1" spans="1:10" ht="2.1" customHeight="1" x14ac:dyDescent="0.2">
      <c r="A1" s="4"/>
      <c r="B1" s="5"/>
      <c r="C1" s="5"/>
      <c r="D1" s="5"/>
      <c r="E1" s="5"/>
      <c r="F1" s="5"/>
      <c r="G1" s="5"/>
      <c r="H1" s="5"/>
      <c r="I1" s="5"/>
      <c r="J1" s="6"/>
    </row>
    <row r="2" spans="1:10" ht="8.1" customHeight="1" x14ac:dyDescent="0.2">
      <c r="A2" s="190"/>
      <c r="B2" s="191"/>
      <c r="C2" s="77"/>
      <c r="D2" s="64"/>
      <c r="E2" s="64"/>
      <c r="F2" s="64"/>
      <c r="G2" s="64"/>
      <c r="H2" s="64"/>
      <c r="I2" s="64"/>
      <c r="J2" s="65"/>
    </row>
    <row r="3" spans="1:10" ht="15" customHeight="1" x14ac:dyDescent="0.2">
      <c r="A3" s="192"/>
      <c r="B3" s="193"/>
      <c r="C3" s="78"/>
      <c r="D3" s="80" t="s">
        <v>830</v>
      </c>
      <c r="E3" s="66"/>
      <c r="F3" s="66"/>
      <c r="G3" s="66"/>
      <c r="H3" s="66"/>
      <c r="I3" s="66"/>
      <c r="J3" s="67"/>
    </row>
    <row r="4" spans="1:10" ht="15" customHeight="1" x14ac:dyDescent="0.2">
      <c r="A4" s="192"/>
      <c r="B4" s="193"/>
      <c r="C4" s="78"/>
      <c r="D4" s="80" t="s">
        <v>922</v>
      </c>
      <c r="E4" s="66"/>
      <c r="F4" s="66"/>
      <c r="G4" s="66"/>
      <c r="H4" s="66"/>
      <c r="I4" s="66"/>
      <c r="J4" s="67"/>
    </row>
    <row r="5" spans="1:10" ht="15" customHeight="1" x14ac:dyDescent="0.2">
      <c r="A5" s="192"/>
      <c r="B5" s="193"/>
      <c r="C5" s="78"/>
      <c r="D5" s="80" t="s">
        <v>921</v>
      </c>
      <c r="E5" s="46"/>
      <c r="F5" s="46"/>
      <c r="G5" s="46"/>
      <c r="H5" s="46"/>
      <c r="I5" s="46"/>
      <c r="J5" s="47"/>
    </row>
    <row r="6" spans="1:10" ht="8.1" customHeight="1" x14ac:dyDescent="0.2">
      <c r="A6" s="194"/>
      <c r="B6" s="195"/>
      <c r="C6" s="79"/>
      <c r="D6" s="48"/>
      <c r="E6" s="48"/>
      <c r="F6" s="48"/>
      <c r="G6" s="48"/>
      <c r="H6" s="48"/>
      <c r="I6" s="48"/>
      <c r="J6" s="49"/>
    </row>
    <row r="7" spans="1:10" ht="6" customHeight="1" x14ac:dyDescent="0.2">
      <c r="A7" s="57"/>
      <c r="B7" s="10"/>
      <c r="C7" s="18"/>
      <c r="D7" s="18"/>
      <c r="E7" s="18"/>
      <c r="F7" s="18"/>
      <c r="G7" s="18"/>
      <c r="H7" s="18"/>
      <c r="I7" s="18"/>
      <c r="J7" s="63"/>
    </row>
    <row r="8" spans="1:10" ht="12.75" customHeight="1" x14ac:dyDescent="0.2">
      <c r="A8" s="205" t="s">
        <v>920</v>
      </c>
      <c r="B8" s="206"/>
      <c r="C8" s="206"/>
      <c r="D8" s="206"/>
      <c r="E8" s="206"/>
      <c r="F8" s="206"/>
      <c r="G8" s="206"/>
      <c r="H8" s="206"/>
      <c r="I8" s="206"/>
      <c r="J8" s="207"/>
    </row>
    <row r="9" spans="1:10" x14ac:dyDescent="0.2">
      <c r="A9" s="208"/>
      <c r="B9" s="206"/>
      <c r="C9" s="206"/>
      <c r="D9" s="206"/>
      <c r="E9" s="206"/>
      <c r="F9" s="206"/>
      <c r="G9" s="206"/>
      <c r="H9" s="206"/>
      <c r="I9" s="206"/>
      <c r="J9" s="207"/>
    </row>
    <row r="10" spans="1:10" x14ac:dyDescent="0.2">
      <c r="A10" s="208"/>
      <c r="B10" s="206"/>
      <c r="C10" s="206"/>
      <c r="D10" s="206"/>
      <c r="E10" s="206"/>
      <c r="F10" s="206"/>
      <c r="G10" s="206"/>
      <c r="H10" s="206"/>
      <c r="I10" s="206"/>
      <c r="J10" s="207"/>
    </row>
    <row r="11" spans="1:10" x14ac:dyDescent="0.2">
      <c r="A11" s="208"/>
      <c r="B11" s="206"/>
      <c r="C11" s="206"/>
      <c r="D11" s="206"/>
      <c r="E11" s="206"/>
      <c r="F11" s="206"/>
      <c r="G11" s="206"/>
      <c r="H11" s="206"/>
      <c r="I11" s="206"/>
      <c r="J11" s="207"/>
    </row>
    <row r="12" spans="1:10" x14ac:dyDescent="0.2">
      <c r="A12" s="208"/>
      <c r="B12" s="206"/>
      <c r="C12" s="206"/>
      <c r="D12" s="206"/>
      <c r="E12" s="206"/>
      <c r="F12" s="206"/>
      <c r="G12" s="206"/>
      <c r="H12" s="206"/>
      <c r="I12" s="206"/>
      <c r="J12" s="207"/>
    </row>
    <row r="13" spans="1:10" x14ac:dyDescent="0.2">
      <c r="A13" s="208"/>
      <c r="B13" s="206"/>
      <c r="C13" s="206"/>
      <c r="D13" s="206"/>
      <c r="E13" s="206"/>
      <c r="F13" s="206"/>
      <c r="G13" s="206"/>
      <c r="H13" s="206"/>
      <c r="I13" s="206"/>
      <c r="J13" s="207"/>
    </row>
    <row r="14" spans="1:10" x14ac:dyDescent="0.2">
      <c r="A14" s="208"/>
      <c r="B14" s="206"/>
      <c r="C14" s="206"/>
      <c r="D14" s="206"/>
      <c r="E14" s="206"/>
      <c r="F14" s="206"/>
      <c r="G14" s="206"/>
      <c r="H14" s="206"/>
      <c r="I14" s="206"/>
      <c r="J14" s="207"/>
    </row>
    <row r="15" spans="1:10" ht="6" customHeight="1" x14ac:dyDescent="0.2">
      <c r="A15" s="209"/>
      <c r="B15" s="210"/>
      <c r="C15" s="210"/>
      <c r="D15" s="210"/>
      <c r="E15" s="210"/>
      <c r="F15" s="210"/>
      <c r="G15" s="210"/>
      <c r="H15" s="210"/>
      <c r="I15" s="210"/>
      <c r="J15" s="211"/>
    </row>
    <row r="16" spans="1:10" ht="12.75" customHeight="1" x14ac:dyDescent="0.2">
      <c r="A16" s="212" t="s">
        <v>923</v>
      </c>
      <c r="B16" s="213"/>
      <c r="C16" s="213"/>
      <c r="D16" s="213"/>
      <c r="E16" s="213"/>
      <c r="F16" s="213"/>
      <c r="G16" s="213"/>
      <c r="H16" s="213"/>
      <c r="I16" s="213"/>
      <c r="J16" s="214"/>
    </row>
    <row r="17" spans="1:18" ht="12.75" customHeight="1" x14ac:dyDescent="0.2">
      <c r="A17" s="212"/>
      <c r="B17" s="213"/>
      <c r="C17" s="213"/>
      <c r="D17" s="213"/>
      <c r="E17" s="213"/>
      <c r="F17" s="213"/>
      <c r="G17" s="213"/>
      <c r="H17" s="213"/>
      <c r="I17" s="213"/>
      <c r="J17" s="214"/>
    </row>
    <row r="18" spans="1:18" ht="6" customHeight="1" x14ac:dyDescent="0.2">
      <c r="A18" s="86"/>
      <c r="B18" s="87"/>
      <c r="C18" s="87"/>
      <c r="D18" s="87"/>
      <c r="E18" s="87"/>
      <c r="F18" s="87"/>
      <c r="G18" s="87"/>
      <c r="H18" s="87"/>
      <c r="I18" s="87"/>
      <c r="J18" s="88"/>
    </row>
    <row r="19" spans="1:18" ht="12.75" customHeight="1" x14ac:dyDescent="0.2">
      <c r="A19" s="171" t="s">
        <v>917</v>
      </c>
      <c r="B19" s="218"/>
      <c r="C19" s="218"/>
      <c r="D19" s="218"/>
      <c r="E19" s="218"/>
      <c r="F19" s="218"/>
      <c r="G19" s="218"/>
      <c r="H19" s="218"/>
      <c r="I19" s="218"/>
      <c r="J19" s="219"/>
    </row>
    <row r="20" spans="1:18" ht="30" customHeight="1" x14ac:dyDescent="0.2">
      <c r="A20" s="220"/>
      <c r="B20" s="218"/>
      <c r="C20" s="218"/>
      <c r="D20" s="218"/>
      <c r="E20" s="218"/>
      <c r="F20" s="218"/>
      <c r="G20" s="218"/>
      <c r="H20" s="218"/>
      <c r="I20" s="218"/>
      <c r="J20" s="219"/>
    </row>
    <row r="21" spans="1:18" ht="5.0999999999999996" customHeight="1" x14ac:dyDescent="0.2">
      <c r="A21" s="84"/>
      <c r="B21" s="36"/>
      <c r="C21" s="36"/>
      <c r="D21" s="36"/>
      <c r="E21" s="36"/>
      <c r="F21" s="36"/>
      <c r="G21" s="36"/>
      <c r="H21" s="36"/>
      <c r="I21" s="36"/>
      <c r="J21" s="83"/>
    </row>
    <row r="22" spans="1:18" ht="15" customHeight="1" x14ac:dyDescent="0.2">
      <c r="A22" s="50" t="s">
        <v>522</v>
      </c>
      <c r="B22" s="51"/>
      <c r="C22" s="51"/>
      <c r="D22" s="51"/>
      <c r="E22" s="51"/>
      <c r="F22" s="51"/>
      <c r="G22" s="51"/>
      <c r="H22" s="51"/>
      <c r="I22" s="51"/>
      <c r="J22" s="52"/>
    </row>
    <row r="23" spans="1:18" ht="15" customHeight="1" x14ac:dyDescent="0.2">
      <c r="A23" s="215" t="s">
        <v>197</v>
      </c>
      <c r="B23" s="216"/>
      <c r="C23" s="216"/>
      <c r="D23" s="216"/>
      <c r="E23" s="217"/>
      <c r="F23" s="215" t="s">
        <v>198</v>
      </c>
      <c r="G23" s="216"/>
      <c r="H23" s="216"/>
      <c r="I23" s="216"/>
      <c r="J23" s="217"/>
    </row>
    <row r="24" spans="1:18" s="81" customFormat="1" ht="18.75" customHeight="1" x14ac:dyDescent="0.2">
      <c r="A24" s="198" t="s">
        <v>423</v>
      </c>
      <c r="B24" s="199"/>
      <c r="C24" s="199"/>
      <c r="D24" s="199"/>
      <c r="E24" s="200"/>
      <c r="F24" s="201">
        <v>44829</v>
      </c>
      <c r="G24" s="202"/>
      <c r="H24" s="202"/>
      <c r="I24" s="202"/>
      <c r="J24" s="203"/>
    </row>
    <row r="25" spans="1:18" ht="15" customHeight="1" x14ac:dyDescent="0.2">
      <c r="A25" s="204" t="s">
        <v>831</v>
      </c>
      <c r="B25" s="167"/>
      <c r="C25" s="167"/>
      <c r="D25" s="167"/>
      <c r="E25" s="167"/>
      <c r="F25" s="167"/>
      <c r="G25" s="167"/>
      <c r="H25" s="167"/>
      <c r="I25" s="167"/>
      <c r="J25" s="168"/>
    </row>
    <row r="26" spans="1:18" ht="15" customHeight="1" x14ac:dyDescent="0.2">
      <c r="A26" s="174" t="s">
        <v>523</v>
      </c>
      <c r="B26" s="175"/>
      <c r="C26" s="175"/>
      <c r="D26" s="175"/>
      <c r="E26" s="176"/>
      <c r="F26" s="174" t="s">
        <v>525</v>
      </c>
      <c r="G26" s="175"/>
      <c r="H26" s="175"/>
      <c r="I26" s="175"/>
      <c r="J26" s="176"/>
    </row>
    <row r="27" spans="1:18" ht="15" customHeight="1" x14ac:dyDescent="0.2">
      <c r="A27" s="177" t="s">
        <v>928</v>
      </c>
      <c r="B27" s="187"/>
      <c r="C27" s="187"/>
      <c r="D27" s="187"/>
      <c r="E27" s="188"/>
      <c r="F27" s="177" t="s">
        <v>929</v>
      </c>
      <c r="G27" s="187"/>
      <c r="H27" s="187"/>
      <c r="I27" s="187"/>
      <c r="J27" s="188"/>
      <c r="N27" s="164"/>
      <c r="O27" s="164"/>
      <c r="P27" s="164"/>
      <c r="Q27" s="164"/>
      <c r="R27" s="164"/>
    </row>
    <row r="28" spans="1:18" ht="15" customHeight="1" x14ac:dyDescent="0.2">
      <c r="A28" s="182" t="s">
        <v>463</v>
      </c>
      <c r="B28" s="183"/>
      <c r="C28" s="184"/>
      <c r="D28" s="182" t="s">
        <v>524</v>
      </c>
      <c r="E28" s="183"/>
      <c r="F28" s="183"/>
      <c r="G28" s="183"/>
      <c r="H28" s="183"/>
      <c r="I28" s="183"/>
      <c r="J28" s="184"/>
    </row>
    <row r="29" spans="1:18" ht="15" customHeight="1" x14ac:dyDescent="0.2">
      <c r="A29" s="177" t="s">
        <v>975</v>
      </c>
      <c r="B29" s="178"/>
      <c r="C29" s="179"/>
      <c r="D29" s="189" t="s">
        <v>930</v>
      </c>
      <c r="E29" s="178"/>
      <c r="F29" s="178"/>
      <c r="G29" s="178"/>
      <c r="H29" s="178"/>
      <c r="I29" s="178"/>
      <c r="J29" s="179"/>
    </row>
    <row r="30" spans="1:18" ht="15" customHeight="1" x14ac:dyDescent="0.2">
      <c r="A30" s="185" t="s">
        <v>841</v>
      </c>
      <c r="B30" s="186"/>
      <c r="C30" s="186"/>
      <c r="D30" s="186"/>
      <c r="E30" s="186"/>
      <c r="F30" s="167"/>
      <c r="G30" s="167"/>
      <c r="H30" s="167"/>
      <c r="I30" s="167"/>
      <c r="J30" s="168"/>
    </row>
    <row r="31" spans="1:18" ht="15" customHeight="1" x14ac:dyDescent="0.2">
      <c r="A31" s="174" t="s">
        <v>523</v>
      </c>
      <c r="B31" s="175"/>
      <c r="C31" s="175"/>
      <c r="D31" s="175"/>
      <c r="E31" s="175"/>
      <c r="F31" s="174" t="s">
        <v>525</v>
      </c>
      <c r="G31" s="175"/>
      <c r="H31" s="175"/>
      <c r="I31" s="175"/>
      <c r="J31" s="176"/>
    </row>
    <row r="32" spans="1:18" ht="15" customHeight="1" x14ac:dyDescent="0.2">
      <c r="A32" s="180" t="s">
        <v>931</v>
      </c>
      <c r="B32" s="181"/>
      <c r="C32" s="181"/>
      <c r="D32" s="181"/>
      <c r="E32" s="181"/>
      <c r="F32" s="180" t="s">
        <v>933</v>
      </c>
      <c r="G32" s="181"/>
      <c r="H32" s="181"/>
      <c r="I32" s="181"/>
      <c r="J32" s="197"/>
    </row>
    <row r="33" spans="1:20" ht="15" customHeight="1" x14ac:dyDescent="0.2">
      <c r="A33" s="174" t="s">
        <v>463</v>
      </c>
      <c r="B33" s="175"/>
      <c r="C33" s="176"/>
      <c r="D33" s="175" t="s">
        <v>524</v>
      </c>
      <c r="E33" s="175"/>
      <c r="F33" s="175"/>
      <c r="G33" s="175"/>
      <c r="H33" s="175"/>
      <c r="I33" s="175"/>
      <c r="J33" s="176"/>
    </row>
    <row r="34" spans="1:20" ht="15" customHeight="1" x14ac:dyDescent="0.2">
      <c r="A34" s="177" t="s">
        <v>976</v>
      </c>
      <c r="B34" s="178"/>
      <c r="C34" s="179"/>
      <c r="D34" s="196" t="s">
        <v>932</v>
      </c>
      <c r="E34" s="178"/>
      <c r="F34" s="178"/>
      <c r="G34" s="178"/>
      <c r="H34" s="178"/>
      <c r="I34" s="178"/>
      <c r="J34" s="179"/>
    </row>
    <row r="35" spans="1:20" x14ac:dyDescent="0.2">
      <c r="A35" s="165" t="s">
        <v>526</v>
      </c>
      <c r="B35" s="166"/>
      <c r="C35" s="166"/>
      <c r="D35" s="167"/>
      <c r="E35" s="167"/>
      <c r="F35" s="167"/>
      <c r="G35" s="167"/>
      <c r="H35" s="167"/>
      <c r="I35" s="167"/>
      <c r="J35" s="168"/>
    </row>
    <row r="36" spans="1:20" ht="6" customHeight="1" x14ac:dyDescent="0.2">
      <c r="A36" s="59"/>
      <c r="B36" s="60"/>
      <c r="C36" s="60"/>
      <c r="D36" s="61"/>
      <c r="E36" s="61"/>
      <c r="F36" s="61"/>
      <c r="G36" s="61"/>
      <c r="H36" s="61"/>
      <c r="I36" s="61"/>
      <c r="J36" s="62"/>
    </row>
    <row r="37" spans="1:20" ht="12.75" customHeight="1" x14ac:dyDescent="0.2">
      <c r="A37" s="171" t="s">
        <v>927</v>
      </c>
      <c r="B37" s="172"/>
      <c r="C37" s="172"/>
      <c r="D37" s="172"/>
      <c r="E37" s="172"/>
      <c r="F37" s="172"/>
      <c r="G37" s="172"/>
      <c r="H37" s="172"/>
      <c r="I37" s="172"/>
      <c r="J37" s="173"/>
    </row>
    <row r="38" spans="1:20" x14ac:dyDescent="0.2">
      <c r="A38" s="171"/>
      <c r="B38" s="172"/>
      <c r="C38" s="172"/>
      <c r="D38" s="172"/>
      <c r="E38" s="172"/>
      <c r="F38" s="172"/>
      <c r="G38" s="172"/>
      <c r="H38" s="172"/>
      <c r="I38" s="172"/>
      <c r="J38" s="173"/>
    </row>
    <row r="39" spans="1:20" x14ac:dyDescent="0.2">
      <c r="A39" s="171"/>
      <c r="B39" s="172"/>
      <c r="C39" s="172"/>
      <c r="D39" s="172"/>
      <c r="E39" s="172"/>
      <c r="F39" s="172"/>
      <c r="G39" s="172"/>
      <c r="H39" s="172"/>
      <c r="I39" s="172"/>
      <c r="J39" s="173"/>
    </row>
    <row r="40" spans="1:20" ht="6" customHeight="1" x14ac:dyDescent="0.2">
      <c r="A40" s="171"/>
      <c r="B40" s="172"/>
      <c r="C40" s="172"/>
      <c r="D40" s="172"/>
      <c r="E40" s="172"/>
      <c r="F40" s="172"/>
      <c r="G40" s="172"/>
      <c r="H40" s="172"/>
      <c r="I40" s="172"/>
      <c r="J40" s="173"/>
    </row>
    <row r="41" spans="1:20" ht="22.35" customHeight="1" x14ac:dyDescent="0.2">
      <c r="A41" s="171"/>
      <c r="B41" s="172"/>
      <c r="C41" s="172"/>
      <c r="D41" s="172"/>
      <c r="E41" s="172"/>
      <c r="F41" s="172"/>
      <c r="G41" s="172"/>
      <c r="H41" s="172"/>
      <c r="I41" s="172"/>
      <c r="J41" s="173"/>
      <c r="L41" s="169"/>
      <c r="M41" s="169"/>
      <c r="N41" s="169"/>
      <c r="O41" s="169"/>
      <c r="P41" s="169"/>
      <c r="Q41" s="169"/>
      <c r="R41" s="169"/>
      <c r="S41" s="169"/>
      <c r="T41" s="169"/>
    </row>
    <row r="42" spans="1:20" ht="12" customHeight="1" x14ac:dyDescent="0.2">
      <c r="A42" s="171"/>
      <c r="B42" s="172"/>
      <c r="C42" s="172"/>
      <c r="D42" s="172"/>
      <c r="E42" s="172"/>
      <c r="F42" s="172"/>
      <c r="G42" s="172"/>
      <c r="H42" s="172"/>
      <c r="I42" s="172"/>
      <c r="J42" s="173"/>
      <c r="L42" s="169"/>
      <c r="M42" s="169"/>
      <c r="N42" s="169"/>
      <c r="O42" s="169"/>
      <c r="P42" s="169"/>
      <c r="Q42" s="169"/>
      <c r="R42" s="169"/>
      <c r="S42" s="169"/>
      <c r="T42" s="169"/>
    </row>
    <row r="43" spans="1:20" ht="12.75" customHeight="1" x14ac:dyDescent="0.2">
      <c r="A43" s="171"/>
      <c r="B43" s="172"/>
      <c r="C43" s="172"/>
      <c r="D43" s="172"/>
      <c r="E43" s="172"/>
      <c r="F43" s="172"/>
      <c r="G43" s="172"/>
      <c r="H43" s="172"/>
      <c r="I43" s="172"/>
      <c r="J43" s="173"/>
      <c r="L43" s="169"/>
      <c r="M43" s="169"/>
      <c r="N43" s="169"/>
      <c r="O43" s="169"/>
      <c r="P43" s="169"/>
      <c r="Q43" s="169"/>
      <c r="R43" s="169"/>
      <c r="S43" s="169"/>
      <c r="T43" s="169"/>
    </row>
    <row r="44" spans="1:20" ht="12.75" customHeight="1" x14ac:dyDescent="0.2">
      <c r="A44" s="171"/>
      <c r="B44" s="172"/>
      <c r="C44" s="172"/>
      <c r="D44" s="172"/>
      <c r="E44" s="172"/>
      <c r="F44" s="172"/>
      <c r="G44" s="172"/>
      <c r="H44" s="172"/>
      <c r="I44" s="172"/>
      <c r="J44" s="173"/>
      <c r="L44" s="169"/>
      <c r="M44" s="169"/>
      <c r="N44" s="169"/>
      <c r="O44" s="169"/>
      <c r="P44" s="169"/>
      <c r="Q44" s="169"/>
      <c r="R44" s="169"/>
      <c r="S44" s="169"/>
      <c r="T44" s="169"/>
    </row>
    <row r="45" spans="1:20" ht="6" customHeight="1" x14ac:dyDescent="0.2">
      <c r="A45" s="171"/>
      <c r="B45" s="172"/>
      <c r="C45" s="172"/>
      <c r="D45" s="172"/>
      <c r="E45" s="172"/>
      <c r="F45" s="172"/>
      <c r="G45" s="172"/>
      <c r="H45" s="172"/>
      <c r="I45" s="172"/>
      <c r="J45" s="173"/>
      <c r="L45" s="169"/>
      <c r="M45" s="169"/>
      <c r="N45" s="169"/>
      <c r="O45" s="169"/>
      <c r="P45" s="169"/>
      <c r="Q45" s="169"/>
      <c r="R45" s="169"/>
      <c r="S45" s="169"/>
      <c r="T45" s="169"/>
    </row>
    <row r="46" spans="1:20" ht="12.75" customHeight="1" x14ac:dyDescent="0.2">
      <c r="A46" s="171"/>
      <c r="B46" s="172"/>
      <c r="C46" s="172"/>
      <c r="D46" s="172"/>
      <c r="E46" s="172"/>
      <c r="F46" s="172"/>
      <c r="G46" s="172"/>
      <c r="H46" s="172"/>
      <c r="I46" s="172"/>
      <c r="J46" s="173"/>
    </row>
    <row r="47" spans="1:20" ht="12.75" customHeight="1" x14ac:dyDescent="0.2">
      <c r="A47" s="171"/>
      <c r="B47" s="172"/>
      <c r="C47" s="172"/>
      <c r="D47" s="172"/>
      <c r="E47" s="172"/>
      <c r="F47" s="172"/>
      <c r="G47" s="172"/>
      <c r="H47" s="172"/>
      <c r="I47" s="172"/>
      <c r="J47" s="173"/>
    </row>
    <row r="48" spans="1:20" ht="12.75" customHeight="1" x14ac:dyDescent="0.2">
      <c r="A48" s="171"/>
      <c r="B48" s="172"/>
      <c r="C48" s="172"/>
      <c r="D48" s="172"/>
      <c r="E48" s="172"/>
      <c r="F48" s="172"/>
      <c r="G48" s="172"/>
      <c r="H48" s="172"/>
      <c r="I48" s="172"/>
      <c r="J48" s="173"/>
      <c r="L48" s="170"/>
      <c r="M48" s="170"/>
      <c r="N48" s="170"/>
      <c r="O48" s="170"/>
      <c r="P48" s="170"/>
      <c r="Q48" s="170"/>
      <c r="R48" s="170"/>
      <c r="S48" s="170"/>
      <c r="T48" s="170"/>
    </row>
    <row r="49" spans="1:20" ht="12" customHeight="1" x14ac:dyDescent="0.2">
      <c r="A49" s="171"/>
      <c r="B49" s="172"/>
      <c r="C49" s="172"/>
      <c r="D49" s="172"/>
      <c r="E49" s="172"/>
      <c r="F49" s="172"/>
      <c r="G49" s="172"/>
      <c r="H49" s="172"/>
      <c r="I49" s="172"/>
      <c r="J49" s="173"/>
      <c r="L49" s="170"/>
      <c r="M49" s="170"/>
      <c r="N49" s="170"/>
      <c r="O49" s="170"/>
      <c r="P49" s="170"/>
      <c r="Q49" s="170"/>
      <c r="R49" s="170"/>
      <c r="S49" s="170"/>
      <c r="T49" s="170"/>
    </row>
    <row r="50" spans="1:20" s="85" customFormat="1" ht="56.1" customHeight="1" x14ac:dyDescent="0.2">
      <c r="A50" s="171"/>
      <c r="B50" s="172"/>
      <c r="C50" s="172"/>
      <c r="D50" s="172"/>
      <c r="E50" s="172"/>
      <c r="F50" s="172"/>
      <c r="G50" s="172"/>
      <c r="H50" s="172"/>
      <c r="I50" s="172"/>
      <c r="J50" s="173"/>
      <c r="L50" s="170"/>
      <c r="M50" s="170"/>
      <c r="N50" s="170"/>
      <c r="O50" s="170"/>
      <c r="P50" s="170"/>
      <c r="Q50" s="170"/>
      <c r="R50" s="170"/>
      <c r="S50" s="170"/>
      <c r="T50" s="170"/>
    </row>
    <row r="51" spans="1:20" ht="14.45" customHeight="1" x14ac:dyDescent="0.2">
      <c r="A51" s="89"/>
      <c r="B51" s="90"/>
      <c r="C51" s="90"/>
      <c r="D51" s="90"/>
      <c r="E51" s="90"/>
      <c r="F51" s="90"/>
      <c r="G51" s="90"/>
      <c r="H51" s="90"/>
      <c r="I51" s="90"/>
      <c r="J51" s="91"/>
    </row>
    <row r="52" spans="1:20" ht="12.75" customHeight="1" x14ac:dyDescent="0.2">
      <c r="A52" s="58"/>
      <c r="B52" s="58"/>
      <c r="C52" s="58"/>
      <c r="D52" s="58"/>
      <c r="E52" s="58"/>
      <c r="F52" s="58"/>
      <c r="G52" s="58"/>
      <c r="H52" s="58"/>
      <c r="I52" s="58"/>
      <c r="J52" s="58"/>
    </row>
    <row r="53" spans="1:20" ht="12.75" customHeight="1" x14ac:dyDescent="0.2">
      <c r="A53" s="32"/>
      <c r="B53" s="32"/>
      <c r="C53" s="32"/>
      <c r="D53" s="32"/>
      <c r="E53" s="32"/>
      <c r="F53" s="32"/>
      <c r="G53" s="32"/>
      <c r="H53" s="32"/>
      <c r="I53" s="32"/>
      <c r="J53" s="32"/>
    </row>
    <row r="60" spans="1:20" x14ac:dyDescent="0.2">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D6FD79D1-9EBC-408C-A152-FCAB86434752}"/>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72CF8F87-7F92-48D3-9CE9-4BE9F3E0D7FF}"/>
    <hyperlink ref="D34" r:id="rId2" xr:uid="{AC15DC24-8DBF-4F33-96C1-427C5A5AD0DD}"/>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ColWidth="8.85546875" defaultRowHeight="12.75" x14ac:dyDescent="0.2"/>
  <sheetData>
    <row r="1" spans="1:11" ht="15.75" x14ac:dyDescent="0.25">
      <c r="A1" s="516" t="s">
        <v>322</v>
      </c>
      <c r="B1" s="517"/>
      <c r="C1" s="517"/>
      <c r="D1" s="517"/>
      <c r="E1" s="517"/>
      <c r="F1" s="517"/>
      <c r="G1" s="517"/>
      <c r="H1" s="517"/>
      <c r="I1" s="517"/>
      <c r="J1" s="518"/>
    </row>
    <row r="2" spans="1:11" x14ac:dyDescent="0.2">
      <c r="A2" s="519" t="s">
        <v>199</v>
      </c>
      <c r="B2" s="520"/>
      <c r="C2" s="520"/>
      <c r="D2" s="520"/>
      <c r="E2" s="520"/>
      <c r="F2" s="520"/>
      <c r="G2" s="520"/>
      <c r="H2" s="520"/>
      <c r="I2" s="520"/>
      <c r="J2" s="521"/>
    </row>
    <row r="3" spans="1:11" x14ac:dyDescent="0.2">
      <c r="A3" s="209"/>
      <c r="B3" s="210"/>
      <c r="C3" s="210"/>
      <c r="D3" s="210"/>
      <c r="E3" s="210"/>
      <c r="F3" s="210"/>
      <c r="G3" s="210"/>
      <c r="H3" s="210"/>
      <c r="I3" s="210"/>
      <c r="J3" s="211"/>
    </row>
    <row r="4" spans="1:11" x14ac:dyDescent="0.2">
      <c r="A4" s="522"/>
      <c r="B4" s="523"/>
      <c r="C4" s="523"/>
      <c r="D4" s="523"/>
      <c r="E4" s="523"/>
      <c r="F4" s="523"/>
      <c r="G4" s="523"/>
      <c r="H4" s="523"/>
      <c r="I4" s="523"/>
      <c r="J4" s="524"/>
    </row>
    <row r="5" spans="1:11" x14ac:dyDescent="0.2">
      <c r="A5" s="4"/>
      <c r="B5" s="5"/>
      <c r="C5" s="5"/>
      <c r="D5" s="5"/>
      <c r="E5" s="5"/>
      <c r="F5" s="5"/>
      <c r="G5" s="5"/>
      <c r="H5" s="5"/>
      <c r="I5" s="5"/>
      <c r="J5" s="6"/>
    </row>
    <row r="6" spans="1:11" x14ac:dyDescent="0.2">
      <c r="A6" s="26"/>
      <c r="H6" s="525" t="s">
        <v>200</v>
      </c>
      <c r="I6" s="525"/>
      <c r="J6" s="526"/>
      <c r="K6" s="2"/>
    </row>
    <row r="7" spans="1:11" x14ac:dyDescent="0.2">
      <c r="A7" s="529" t="s">
        <v>201</v>
      </c>
      <c r="B7" s="530"/>
      <c r="C7" s="530"/>
      <c r="D7" s="530"/>
      <c r="E7" s="530"/>
      <c r="F7" s="530"/>
      <c r="G7" s="530"/>
      <c r="H7" s="527"/>
      <c r="I7" s="527"/>
      <c r="J7" s="528"/>
    </row>
    <row r="8" spans="1:11" x14ac:dyDescent="0.2">
      <c r="A8" s="510" t="s">
        <v>369</v>
      </c>
      <c r="B8" s="511"/>
      <c r="C8" s="511"/>
      <c r="D8" s="511"/>
      <c r="E8" s="511"/>
      <c r="F8" s="511"/>
      <c r="G8" s="512"/>
      <c r="H8" s="3"/>
      <c r="I8" s="27"/>
      <c r="J8" s="3"/>
    </row>
    <row r="9" spans="1:11" x14ac:dyDescent="0.2">
      <c r="A9" s="513" t="s">
        <v>370</v>
      </c>
      <c r="B9" s="514"/>
      <c r="C9" s="514"/>
      <c r="D9" s="514"/>
      <c r="E9" s="514"/>
      <c r="F9" s="514"/>
      <c r="G9" s="515"/>
      <c r="H9" s="3"/>
      <c r="I9" s="28"/>
      <c r="J9" s="3"/>
    </row>
    <row r="10" spans="1:11" x14ac:dyDescent="0.2">
      <c r="A10" s="510" t="s">
        <v>202</v>
      </c>
      <c r="B10" s="511"/>
      <c r="C10" s="511"/>
      <c r="D10" s="511"/>
      <c r="E10" s="511"/>
      <c r="F10" s="511"/>
      <c r="G10" s="512"/>
      <c r="H10" s="3"/>
      <c r="I10" s="27"/>
      <c r="J10" s="3"/>
    </row>
    <row r="11" spans="1:11" x14ac:dyDescent="0.2">
      <c r="A11" s="513" t="s">
        <v>203</v>
      </c>
      <c r="B11" s="514"/>
      <c r="C11" s="514"/>
      <c r="D11" s="514"/>
      <c r="E11" s="514"/>
      <c r="F11" s="514"/>
      <c r="G11" s="515"/>
      <c r="H11" s="3"/>
      <c r="I11" s="28"/>
      <c r="J11" s="3"/>
    </row>
    <row r="12" spans="1:11" x14ac:dyDescent="0.2">
      <c r="A12" s="510" t="s">
        <v>204</v>
      </c>
      <c r="B12" s="511"/>
      <c r="C12" s="511"/>
      <c r="D12" s="511"/>
      <c r="E12" s="511"/>
      <c r="F12" s="511"/>
      <c r="G12" s="512"/>
      <c r="H12" s="3"/>
      <c r="I12" s="27"/>
      <c r="J12" s="3"/>
    </row>
    <row r="13" spans="1:11" x14ac:dyDescent="0.2">
      <c r="A13" s="513" t="s">
        <v>205</v>
      </c>
      <c r="B13" s="514"/>
      <c r="C13" s="514"/>
      <c r="D13" s="514"/>
      <c r="E13" s="514"/>
      <c r="F13" s="514"/>
      <c r="G13" s="515"/>
      <c r="H13" s="3"/>
      <c r="I13" s="28"/>
      <c r="J13" s="3"/>
    </row>
    <row r="14" spans="1:11" x14ac:dyDescent="0.2">
      <c r="A14" s="510" t="s">
        <v>371</v>
      </c>
      <c r="B14" s="511"/>
      <c r="C14" s="511"/>
      <c r="D14" s="511"/>
      <c r="E14" s="511"/>
      <c r="F14" s="511"/>
      <c r="G14" s="512"/>
      <c r="H14" s="3"/>
      <c r="I14" s="27"/>
      <c r="J14" s="3"/>
    </row>
    <row r="15" spans="1:11" x14ac:dyDescent="0.2">
      <c r="A15" s="513" t="s">
        <v>206</v>
      </c>
      <c r="B15" s="514"/>
      <c r="C15" s="514"/>
      <c r="D15" s="514"/>
      <c r="E15" s="514"/>
      <c r="F15" s="514"/>
      <c r="G15" s="515"/>
      <c r="H15" s="3"/>
      <c r="I15" s="28"/>
      <c r="J15" s="3"/>
    </row>
    <row r="16" spans="1:11" x14ac:dyDescent="0.2">
      <c r="A16" s="510" t="s">
        <v>207</v>
      </c>
      <c r="B16" s="511"/>
      <c r="C16" s="511"/>
      <c r="D16" s="511"/>
      <c r="E16" s="511"/>
      <c r="F16" s="511"/>
      <c r="G16" s="512"/>
      <c r="H16" s="3"/>
      <c r="I16" s="27"/>
      <c r="J16" s="3"/>
    </row>
    <row r="17" spans="1:10" x14ac:dyDescent="0.2">
      <c r="A17" s="513" t="s">
        <v>208</v>
      </c>
      <c r="B17" s="514"/>
      <c r="C17" s="514"/>
      <c r="D17" s="514"/>
      <c r="E17" s="514"/>
      <c r="F17" s="514"/>
      <c r="G17" s="515"/>
      <c r="H17" s="3"/>
      <c r="I17" s="28"/>
      <c r="J17" s="3"/>
    </row>
    <row r="18" spans="1:10" x14ac:dyDescent="0.2">
      <c r="A18" s="510" t="s">
        <v>209</v>
      </c>
      <c r="B18" s="511"/>
      <c r="C18" s="511"/>
      <c r="D18" s="511"/>
      <c r="E18" s="511"/>
      <c r="F18" s="511"/>
      <c r="G18" s="512"/>
      <c r="H18" s="3"/>
      <c r="I18" s="27"/>
      <c r="J18" s="3"/>
    </row>
    <row r="19" spans="1:10" x14ac:dyDescent="0.2">
      <c r="A19" s="513" t="s">
        <v>210</v>
      </c>
      <c r="B19" s="515"/>
      <c r="C19" s="533"/>
      <c r="D19" s="534"/>
      <c r="E19" s="534"/>
      <c r="F19" s="534"/>
      <c r="G19" s="535"/>
      <c r="H19" s="3"/>
      <c r="I19" s="28"/>
      <c r="J19" s="3"/>
    </row>
    <row r="20" spans="1:10" x14ac:dyDescent="0.2">
      <c r="A20" s="510" t="s">
        <v>210</v>
      </c>
      <c r="B20" s="512"/>
      <c r="C20" s="536"/>
      <c r="D20" s="537"/>
      <c r="E20" s="537"/>
      <c r="F20" s="537"/>
      <c r="G20" s="538"/>
      <c r="H20" s="3"/>
      <c r="I20" s="27"/>
      <c r="J20" s="3"/>
    </row>
    <row r="21" spans="1:10" x14ac:dyDescent="0.2">
      <c r="A21" s="513" t="s">
        <v>210</v>
      </c>
      <c r="B21" s="515"/>
      <c r="C21" s="533"/>
      <c r="D21" s="534"/>
      <c r="E21" s="534"/>
      <c r="F21" s="534"/>
      <c r="G21" s="535"/>
      <c r="H21" s="3"/>
      <c r="I21" s="28"/>
      <c r="J21" s="3"/>
    </row>
    <row r="22" spans="1:10" x14ac:dyDescent="0.2">
      <c r="A22" s="510" t="s">
        <v>210</v>
      </c>
      <c r="B22" s="512"/>
      <c r="C22" s="536"/>
      <c r="D22" s="537"/>
      <c r="E22" s="537"/>
      <c r="F22" s="537"/>
      <c r="G22" s="538"/>
      <c r="H22" s="3"/>
      <c r="I22" s="27"/>
      <c r="J22" s="3"/>
    </row>
    <row r="56" spans="1:8" x14ac:dyDescent="0.2">
      <c r="A56" s="531" t="s">
        <v>325</v>
      </c>
      <c r="B56" s="531"/>
      <c r="C56" s="531"/>
      <c r="D56" s="531"/>
      <c r="E56" s="532" t="str">
        <f>County</f>
        <v>Los Angeles</v>
      </c>
      <c r="F56" s="532"/>
      <c r="G56" s="532"/>
      <c r="H56" s="53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ColWidth="8.85546875" defaultRowHeight="12.75" x14ac:dyDescent="0.2"/>
  <sheetData>
    <row r="1" spans="1:10" ht="15.75" x14ac:dyDescent="0.25">
      <c r="A1" s="516" t="s">
        <v>190</v>
      </c>
      <c r="B1" s="517"/>
      <c r="C1" s="517"/>
      <c r="D1" s="517"/>
      <c r="E1" s="517"/>
      <c r="F1" s="517"/>
      <c r="G1" s="517"/>
      <c r="H1" s="517"/>
      <c r="I1" s="517"/>
      <c r="J1" s="518"/>
    </row>
    <row r="2" spans="1:10" x14ac:dyDescent="0.2">
      <c r="A2" s="554" t="s">
        <v>390</v>
      </c>
      <c r="B2" s="555"/>
      <c r="C2" s="555"/>
      <c r="D2" s="555"/>
      <c r="E2" s="555"/>
      <c r="F2" s="555"/>
      <c r="G2" s="555"/>
      <c r="H2" s="555"/>
      <c r="I2" s="555"/>
      <c r="J2" s="556"/>
    </row>
    <row r="3" spans="1:10" x14ac:dyDescent="0.2">
      <c r="A3" s="551" t="s">
        <v>391</v>
      </c>
      <c r="B3" s="532"/>
      <c r="C3" s="532"/>
      <c r="D3" s="532"/>
      <c r="E3" s="532"/>
      <c r="F3" s="532"/>
      <c r="G3" s="532"/>
      <c r="H3" s="532"/>
      <c r="I3" s="532"/>
      <c r="J3" s="552"/>
    </row>
    <row r="4" spans="1:10" x14ac:dyDescent="0.2">
      <c r="A4" s="551" t="s">
        <v>392</v>
      </c>
      <c r="B4" s="532"/>
      <c r="C4" s="532"/>
      <c r="D4" s="532"/>
      <c r="E4" s="532"/>
      <c r="F4" s="532"/>
      <c r="G4" s="532"/>
      <c r="H4" s="532"/>
      <c r="I4" s="532"/>
      <c r="J4" s="552"/>
    </row>
    <row r="5" spans="1:10" x14ac:dyDescent="0.2">
      <c r="A5" s="551" t="s">
        <v>393</v>
      </c>
      <c r="B5" s="532"/>
      <c r="C5" s="532"/>
      <c r="D5" s="532"/>
      <c r="E5" s="532"/>
      <c r="F5" s="532"/>
      <c r="G5" s="532"/>
      <c r="H5" s="532"/>
      <c r="I5" s="532"/>
      <c r="J5" s="552"/>
    </row>
    <row r="6" spans="1:10" x14ac:dyDescent="0.2">
      <c r="A6" s="553" t="s">
        <v>394</v>
      </c>
      <c r="B6" s="543"/>
      <c r="C6" s="543"/>
      <c r="D6" s="543"/>
      <c r="E6" s="543"/>
      <c r="F6" s="543"/>
      <c r="G6" s="543"/>
      <c r="H6" s="543"/>
      <c r="I6" s="543"/>
      <c r="J6" s="544"/>
    </row>
    <row r="7" spans="1:10" x14ac:dyDescent="0.2">
      <c r="A7" s="13" t="s">
        <v>395</v>
      </c>
      <c r="B7" s="14"/>
      <c r="C7" s="14"/>
      <c r="D7" s="14"/>
      <c r="E7" s="14"/>
      <c r="F7" s="14"/>
      <c r="G7" s="14"/>
      <c r="H7" s="29"/>
      <c r="I7" s="14"/>
      <c r="J7" s="15"/>
    </row>
    <row r="8" spans="1:10" x14ac:dyDescent="0.2">
      <c r="A8" s="539" t="s">
        <v>396</v>
      </c>
      <c r="B8" s="540"/>
      <c r="C8" s="540"/>
      <c r="D8" s="540"/>
      <c r="E8" s="540"/>
      <c r="F8" s="540"/>
      <c r="G8" s="540"/>
      <c r="H8" s="540"/>
      <c r="I8" s="540"/>
      <c r="J8" s="541"/>
    </row>
    <row r="9" spans="1:10" x14ac:dyDescent="0.2">
      <c r="A9" s="542" t="s">
        <v>196</v>
      </c>
      <c r="B9" s="543"/>
      <c r="C9" s="543"/>
      <c r="D9" s="543"/>
      <c r="E9" s="543"/>
      <c r="F9" s="543"/>
      <c r="G9" s="543"/>
      <c r="H9" s="543"/>
      <c r="I9" s="543"/>
      <c r="J9" s="544"/>
    </row>
    <row r="10" spans="1:10" x14ac:dyDescent="0.2">
      <c r="A10" s="550"/>
      <c r="B10" s="234"/>
      <c r="C10" s="234"/>
      <c r="D10" s="234"/>
      <c r="E10" s="234"/>
      <c r="F10" s="234"/>
      <c r="G10" s="234"/>
      <c r="H10" s="234"/>
      <c r="I10" s="234"/>
      <c r="J10" s="235"/>
    </row>
    <row r="11" spans="1:10" x14ac:dyDescent="0.2">
      <c r="A11" s="236"/>
      <c r="B11" s="237"/>
      <c r="C11" s="237"/>
      <c r="D11" s="237"/>
      <c r="E11" s="237"/>
      <c r="F11" s="237"/>
      <c r="G11" s="237"/>
      <c r="H11" s="237"/>
      <c r="I11" s="237"/>
      <c r="J11" s="238"/>
    </row>
    <row r="12" spans="1:10" x14ac:dyDescent="0.2">
      <c r="A12" s="236"/>
      <c r="B12" s="237"/>
      <c r="C12" s="237"/>
      <c r="D12" s="237"/>
      <c r="E12" s="237"/>
      <c r="F12" s="237"/>
      <c r="G12" s="237"/>
      <c r="H12" s="237"/>
      <c r="I12" s="237"/>
      <c r="J12" s="238"/>
    </row>
    <row r="13" spans="1:10" x14ac:dyDescent="0.2">
      <c r="A13" s="236"/>
      <c r="B13" s="237"/>
      <c r="C13" s="237"/>
      <c r="D13" s="237"/>
      <c r="E13" s="237"/>
      <c r="F13" s="237"/>
      <c r="G13" s="237"/>
      <c r="H13" s="237"/>
      <c r="I13" s="237"/>
      <c r="J13" s="238"/>
    </row>
    <row r="14" spans="1:10" x14ac:dyDescent="0.2">
      <c r="A14" s="236"/>
      <c r="B14" s="237"/>
      <c r="C14" s="237"/>
      <c r="D14" s="237"/>
      <c r="E14" s="237"/>
      <c r="F14" s="237"/>
      <c r="G14" s="237"/>
      <c r="H14" s="237"/>
      <c r="I14" s="237"/>
      <c r="J14" s="238"/>
    </row>
    <row r="15" spans="1:10" x14ac:dyDescent="0.2">
      <c r="A15" s="236"/>
      <c r="B15" s="237"/>
      <c r="C15" s="237"/>
      <c r="D15" s="237"/>
      <c r="E15" s="237"/>
      <c r="F15" s="237"/>
      <c r="G15" s="237"/>
      <c r="H15" s="237"/>
      <c r="I15" s="237"/>
      <c r="J15" s="238"/>
    </row>
    <row r="16" spans="1:10" x14ac:dyDescent="0.2">
      <c r="A16" s="236"/>
      <c r="B16" s="237"/>
      <c r="C16" s="237"/>
      <c r="D16" s="237"/>
      <c r="E16" s="237"/>
      <c r="F16" s="237"/>
      <c r="G16" s="237"/>
      <c r="H16" s="237"/>
      <c r="I16" s="237"/>
      <c r="J16" s="238"/>
    </row>
    <row r="17" spans="1:10" x14ac:dyDescent="0.2">
      <c r="A17" s="236"/>
      <c r="B17" s="237"/>
      <c r="C17" s="237"/>
      <c r="D17" s="237"/>
      <c r="E17" s="237"/>
      <c r="F17" s="237"/>
      <c r="G17" s="237"/>
      <c r="H17" s="237"/>
      <c r="I17" s="237"/>
      <c r="J17" s="238"/>
    </row>
    <row r="18" spans="1:10" x14ac:dyDescent="0.2">
      <c r="A18" s="236"/>
      <c r="B18" s="237"/>
      <c r="C18" s="237"/>
      <c r="D18" s="237"/>
      <c r="E18" s="237"/>
      <c r="F18" s="237"/>
      <c r="G18" s="237"/>
      <c r="H18" s="237"/>
      <c r="I18" s="237"/>
      <c r="J18" s="238"/>
    </row>
    <row r="19" spans="1:10" x14ac:dyDescent="0.2">
      <c r="A19" s="236"/>
      <c r="B19" s="237"/>
      <c r="C19" s="237"/>
      <c r="D19" s="237"/>
      <c r="E19" s="237"/>
      <c r="F19" s="237"/>
      <c r="G19" s="237"/>
      <c r="H19" s="237"/>
      <c r="I19" s="237"/>
      <c r="J19" s="238"/>
    </row>
    <row r="20" spans="1:10" x14ac:dyDescent="0.2">
      <c r="A20" s="236"/>
      <c r="B20" s="237"/>
      <c r="C20" s="237"/>
      <c r="D20" s="237"/>
      <c r="E20" s="237"/>
      <c r="F20" s="237"/>
      <c r="G20" s="237"/>
      <c r="H20" s="237"/>
      <c r="I20" s="237"/>
      <c r="J20" s="238"/>
    </row>
    <row r="21" spans="1:10" x14ac:dyDescent="0.2">
      <c r="A21" s="236"/>
      <c r="B21" s="237"/>
      <c r="C21" s="237"/>
      <c r="D21" s="237"/>
      <c r="E21" s="237"/>
      <c r="F21" s="237"/>
      <c r="G21" s="237"/>
      <c r="H21" s="237"/>
      <c r="I21" s="237"/>
      <c r="J21" s="238"/>
    </row>
    <row r="22" spans="1:10" x14ac:dyDescent="0.2">
      <c r="A22" s="236"/>
      <c r="B22" s="237"/>
      <c r="C22" s="237"/>
      <c r="D22" s="237"/>
      <c r="E22" s="237"/>
      <c r="F22" s="237"/>
      <c r="G22" s="237"/>
      <c r="H22" s="237"/>
      <c r="I22" s="237"/>
      <c r="J22" s="238"/>
    </row>
    <row r="23" spans="1:10" x14ac:dyDescent="0.2">
      <c r="A23" s="236"/>
      <c r="B23" s="237"/>
      <c r="C23" s="237"/>
      <c r="D23" s="237"/>
      <c r="E23" s="237"/>
      <c r="F23" s="237"/>
      <c r="G23" s="237"/>
      <c r="H23" s="237"/>
      <c r="I23" s="237"/>
      <c r="J23" s="238"/>
    </row>
    <row r="24" spans="1:10" x14ac:dyDescent="0.2">
      <c r="A24" s="236"/>
      <c r="B24" s="237"/>
      <c r="C24" s="237"/>
      <c r="D24" s="237"/>
      <c r="E24" s="237"/>
      <c r="F24" s="237"/>
      <c r="G24" s="237"/>
      <c r="H24" s="237"/>
      <c r="I24" s="237"/>
      <c r="J24" s="238"/>
    </row>
    <row r="25" spans="1:10" x14ac:dyDescent="0.2">
      <c r="A25" s="239"/>
      <c r="B25" s="240"/>
      <c r="C25" s="240"/>
      <c r="D25" s="240"/>
      <c r="E25" s="240"/>
      <c r="F25" s="240"/>
      <c r="G25" s="240"/>
      <c r="H25" s="240"/>
      <c r="I25" s="240"/>
      <c r="J25" s="241"/>
    </row>
    <row r="26" spans="1:10" x14ac:dyDescent="0.2">
      <c r="A26" s="23" t="s">
        <v>191</v>
      </c>
      <c r="B26" s="24"/>
      <c r="C26" s="24"/>
      <c r="D26" s="24"/>
      <c r="E26" s="24"/>
      <c r="F26" s="24"/>
      <c r="G26" s="24"/>
      <c r="H26" s="24"/>
      <c r="I26" s="24"/>
      <c r="J26" s="25"/>
    </row>
    <row r="27" spans="1:10" x14ac:dyDescent="0.2">
      <c r="A27" s="550"/>
      <c r="B27" s="234"/>
      <c r="C27" s="234"/>
      <c r="D27" s="234"/>
      <c r="E27" s="234"/>
      <c r="F27" s="234"/>
      <c r="G27" s="234"/>
      <c r="H27" s="234"/>
      <c r="I27" s="234"/>
      <c r="J27" s="235"/>
    </row>
    <row r="28" spans="1:10" x14ac:dyDescent="0.2">
      <c r="A28" s="236"/>
      <c r="B28" s="237"/>
      <c r="C28" s="237"/>
      <c r="D28" s="237"/>
      <c r="E28" s="237"/>
      <c r="F28" s="237"/>
      <c r="G28" s="237"/>
      <c r="H28" s="237"/>
      <c r="I28" s="237"/>
      <c r="J28" s="238"/>
    </row>
    <row r="29" spans="1:10" x14ac:dyDescent="0.2">
      <c r="A29" s="236"/>
      <c r="B29" s="237"/>
      <c r="C29" s="237"/>
      <c r="D29" s="237"/>
      <c r="E29" s="237"/>
      <c r="F29" s="237"/>
      <c r="G29" s="237"/>
      <c r="H29" s="237"/>
      <c r="I29" s="237"/>
      <c r="J29" s="238"/>
    </row>
    <row r="30" spans="1:10" x14ac:dyDescent="0.2">
      <c r="A30" s="236"/>
      <c r="B30" s="237"/>
      <c r="C30" s="237"/>
      <c r="D30" s="237"/>
      <c r="E30" s="237"/>
      <c r="F30" s="237"/>
      <c r="G30" s="237"/>
      <c r="H30" s="237"/>
      <c r="I30" s="237"/>
      <c r="J30" s="238"/>
    </row>
    <row r="31" spans="1:10" x14ac:dyDescent="0.2">
      <c r="A31" s="236"/>
      <c r="B31" s="237"/>
      <c r="C31" s="237"/>
      <c r="D31" s="237"/>
      <c r="E31" s="237"/>
      <c r="F31" s="237"/>
      <c r="G31" s="237"/>
      <c r="H31" s="237"/>
      <c r="I31" s="237"/>
      <c r="J31" s="238"/>
    </row>
    <row r="32" spans="1:10" x14ac:dyDescent="0.2">
      <c r="A32" s="236"/>
      <c r="B32" s="237"/>
      <c r="C32" s="237"/>
      <c r="D32" s="237"/>
      <c r="E32" s="237"/>
      <c r="F32" s="237"/>
      <c r="G32" s="237"/>
      <c r="H32" s="237"/>
      <c r="I32" s="237"/>
      <c r="J32" s="238"/>
    </row>
    <row r="33" spans="1:10" x14ac:dyDescent="0.2">
      <c r="A33" s="236"/>
      <c r="B33" s="237"/>
      <c r="C33" s="237"/>
      <c r="D33" s="237"/>
      <c r="E33" s="237"/>
      <c r="F33" s="237"/>
      <c r="G33" s="237"/>
      <c r="H33" s="237"/>
      <c r="I33" s="237"/>
      <c r="J33" s="238"/>
    </row>
    <row r="34" spans="1:10" x14ac:dyDescent="0.2">
      <c r="A34" s="236"/>
      <c r="B34" s="237"/>
      <c r="C34" s="237"/>
      <c r="D34" s="237"/>
      <c r="E34" s="237"/>
      <c r="F34" s="237"/>
      <c r="G34" s="237"/>
      <c r="H34" s="237"/>
      <c r="I34" s="237"/>
      <c r="J34" s="238"/>
    </row>
    <row r="35" spans="1:10" x14ac:dyDescent="0.2">
      <c r="A35" s="236"/>
      <c r="B35" s="237"/>
      <c r="C35" s="237"/>
      <c r="D35" s="237"/>
      <c r="E35" s="237"/>
      <c r="F35" s="237"/>
      <c r="G35" s="237"/>
      <c r="H35" s="237"/>
      <c r="I35" s="237"/>
      <c r="J35" s="238"/>
    </row>
    <row r="36" spans="1:10" x14ac:dyDescent="0.2">
      <c r="A36" s="236"/>
      <c r="B36" s="237"/>
      <c r="C36" s="237"/>
      <c r="D36" s="237"/>
      <c r="E36" s="237"/>
      <c r="F36" s="237"/>
      <c r="G36" s="237"/>
      <c r="H36" s="237"/>
      <c r="I36" s="237"/>
      <c r="J36" s="238"/>
    </row>
    <row r="37" spans="1:10" x14ac:dyDescent="0.2">
      <c r="A37" s="236"/>
      <c r="B37" s="237"/>
      <c r="C37" s="237"/>
      <c r="D37" s="237"/>
      <c r="E37" s="237"/>
      <c r="F37" s="237"/>
      <c r="G37" s="237"/>
      <c r="H37" s="237"/>
      <c r="I37" s="237"/>
      <c r="J37" s="238"/>
    </row>
    <row r="38" spans="1:10" x14ac:dyDescent="0.2">
      <c r="A38" s="239"/>
      <c r="B38" s="240"/>
      <c r="C38" s="240"/>
      <c r="D38" s="240"/>
      <c r="E38" s="240"/>
      <c r="F38" s="240"/>
      <c r="G38" s="240"/>
      <c r="H38" s="240"/>
      <c r="I38" s="240"/>
      <c r="J38" s="241"/>
    </row>
    <row r="39" spans="1:10" x14ac:dyDescent="0.2">
      <c r="A39" s="545" t="s">
        <v>327</v>
      </c>
      <c r="B39" s="546"/>
      <c r="C39" s="546"/>
      <c r="D39" s="546"/>
      <c r="E39" s="546"/>
      <c r="F39" s="546"/>
      <c r="G39" s="546"/>
      <c r="H39" s="546"/>
      <c r="I39" s="546"/>
      <c r="J39" s="547"/>
    </row>
    <row r="40" spans="1:10" x14ac:dyDescent="0.2">
      <c r="A40" s="542" t="s">
        <v>321</v>
      </c>
      <c r="B40" s="548"/>
      <c r="C40" s="548"/>
      <c r="D40" s="548"/>
      <c r="E40" s="548"/>
      <c r="F40" s="548"/>
      <c r="G40" s="548"/>
      <c r="H40" s="548"/>
      <c r="I40" s="548"/>
      <c r="J40" s="549"/>
    </row>
    <row r="41" spans="1:10" x14ac:dyDescent="0.2">
      <c r="A41" s="550"/>
      <c r="B41" s="234"/>
      <c r="C41" s="234"/>
      <c r="D41" s="234"/>
      <c r="E41" s="234"/>
      <c r="F41" s="234"/>
      <c r="G41" s="234"/>
      <c r="H41" s="234"/>
      <c r="I41" s="234"/>
      <c r="J41" s="235"/>
    </row>
    <row r="42" spans="1:10" x14ac:dyDescent="0.2">
      <c r="A42" s="236"/>
      <c r="B42" s="237"/>
      <c r="C42" s="237"/>
      <c r="D42" s="237"/>
      <c r="E42" s="237"/>
      <c r="F42" s="237"/>
      <c r="G42" s="237"/>
      <c r="H42" s="237"/>
      <c r="I42" s="237"/>
      <c r="J42" s="238"/>
    </row>
    <row r="43" spans="1:10" x14ac:dyDescent="0.2">
      <c r="A43" s="236"/>
      <c r="B43" s="237"/>
      <c r="C43" s="237"/>
      <c r="D43" s="237"/>
      <c r="E43" s="237"/>
      <c r="F43" s="237"/>
      <c r="G43" s="237"/>
      <c r="H43" s="237"/>
      <c r="I43" s="237"/>
      <c r="J43" s="238"/>
    </row>
    <row r="44" spans="1:10" x14ac:dyDescent="0.2">
      <c r="A44" s="236"/>
      <c r="B44" s="237"/>
      <c r="C44" s="237"/>
      <c r="D44" s="237"/>
      <c r="E44" s="237"/>
      <c r="F44" s="237"/>
      <c r="G44" s="237"/>
      <c r="H44" s="237"/>
      <c r="I44" s="237"/>
      <c r="J44" s="238"/>
    </row>
    <row r="45" spans="1:10" x14ac:dyDescent="0.2">
      <c r="A45" s="236"/>
      <c r="B45" s="237"/>
      <c r="C45" s="237"/>
      <c r="D45" s="237"/>
      <c r="E45" s="237"/>
      <c r="F45" s="237"/>
      <c r="G45" s="237"/>
      <c r="H45" s="237"/>
      <c r="I45" s="237"/>
      <c r="J45" s="238"/>
    </row>
    <row r="46" spans="1:10" x14ac:dyDescent="0.2">
      <c r="A46" s="236"/>
      <c r="B46" s="237"/>
      <c r="C46" s="237"/>
      <c r="D46" s="237"/>
      <c r="E46" s="237"/>
      <c r="F46" s="237"/>
      <c r="G46" s="237"/>
      <c r="H46" s="237"/>
      <c r="I46" s="237"/>
      <c r="J46" s="238"/>
    </row>
    <row r="47" spans="1:10" x14ac:dyDescent="0.2">
      <c r="A47" s="236"/>
      <c r="B47" s="237"/>
      <c r="C47" s="237"/>
      <c r="D47" s="237"/>
      <c r="E47" s="237"/>
      <c r="F47" s="237"/>
      <c r="G47" s="237"/>
      <c r="H47" s="237"/>
      <c r="I47" s="237"/>
      <c r="J47" s="238"/>
    </row>
    <row r="48" spans="1:10" x14ac:dyDescent="0.2">
      <c r="A48" s="236"/>
      <c r="B48" s="237"/>
      <c r="C48" s="237"/>
      <c r="D48" s="237"/>
      <c r="E48" s="237"/>
      <c r="F48" s="237"/>
      <c r="G48" s="237"/>
      <c r="H48" s="237"/>
      <c r="I48" s="237"/>
      <c r="J48" s="238"/>
    </row>
    <row r="49" spans="1:10" x14ac:dyDescent="0.2">
      <c r="A49" s="236"/>
      <c r="B49" s="237"/>
      <c r="C49" s="237"/>
      <c r="D49" s="237"/>
      <c r="E49" s="237"/>
      <c r="F49" s="237"/>
      <c r="G49" s="237"/>
      <c r="H49" s="237"/>
      <c r="I49" s="237"/>
      <c r="J49" s="238"/>
    </row>
    <row r="50" spans="1:10" x14ac:dyDescent="0.2">
      <c r="A50" s="236"/>
      <c r="B50" s="237"/>
      <c r="C50" s="237"/>
      <c r="D50" s="237"/>
      <c r="E50" s="237"/>
      <c r="F50" s="237"/>
      <c r="G50" s="237"/>
      <c r="H50" s="237"/>
      <c r="I50" s="237"/>
      <c r="J50" s="238"/>
    </row>
    <row r="51" spans="1:10" x14ac:dyDescent="0.2">
      <c r="A51" s="236"/>
      <c r="B51" s="237"/>
      <c r="C51" s="237"/>
      <c r="D51" s="237"/>
      <c r="E51" s="237"/>
      <c r="F51" s="237"/>
      <c r="G51" s="237"/>
      <c r="H51" s="237"/>
      <c r="I51" s="237"/>
      <c r="J51" s="238"/>
    </row>
    <row r="52" spans="1:10" x14ac:dyDescent="0.2">
      <c r="A52" s="239"/>
      <c r="B52" s="240"/>
      <c r="C52" s="240"/>
      <c r="D52" s="240"/>
      <c r="E52" s="240"/>
      <c r="F52" s="240"/>
      <c r="G52" s="240"/>
      <c r="H52" s="240"/>
      <c r="I52" s="240"/>
      <c r="J52" s="241"/>
    </row>
    <row r="53" spans="1:10" x14ac:dyDescent="0.2">
      <c r="A53" s="531" t="s">
        <v>325</v>
      </c>
      <c r="B53" s="531"/>
      <c r="C53" s="531"/>
      <c r="D53" s="531"/>
      <c r="E53" s="532" t="str">
        <f>County</f>
        <v>Los Angeles</v>
      </c>
      <c r="F53" s="532"/>
      <c r="G53" s="532"/>
      <c r="H53" s="53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ColWidth="8.85546875" defaultRowHeight="12.75" x14ac:dyDescent="0.2"/>
  <sheetData>
    <row r="1" spans="1:10" ht="15.75" x14ac:dyDescent="0.25">
      <c r="A1" s="516" t="s">
        <v>285</v>
      </c>
      <c r="B1" s="517"/>
      <c r="C1" s="517"/>
      <c r="D1" s="517"/>
      <c r="E1" s="517"/>
      <c r="F1" s="517"/>
      <c r="G1" s="517"/>
      <c r="H1" s="517"/>
      <c r="I1" s="517"/>
      <c r="J1" s="518"/>
    </row>
    <row r="2" spans="1:10" x14ac:dyDescent="0.2">
      <c r="A2" s="554" t="s">
        <v>397</v>
      </c>
      <c r="B2" s="555"/>
      <c r="C2" s="555"/>
      <c r="D2" s="555"/>
      <c r="E2" s="555"/>
      <c r="F2" s="555"/>
      <c r="G2" s="555"/>
      <c r="H2" s="555"/>
      <c r="I2" s="555"/>
      <c r="J2" s="556"/>
    </row>
    <row r="3" spans="1:10" x14ac:dyDescent="0.2">
      <c r="A3" s="551" t="s">
        <v>398</v>
      </c>
      <c r="B3" s="532"/>
      <c r="C3" s="532"/>
      <c r="D3" s="532"/>
      <c r="E3" s="532"/>
      <c r="F3" s="532"/>
      <c r="G3" s="532"/>
      <c r="H3" s="532"/>
      <c r="I3" s="532"/>
      <c r="J3" s="552"/>
    </row>
    <row r="4" spans="1:10" x14ac:dyDescent="0.2">
      <c r="A4" s="551" t="s">
        <v>399</v>
      </c>
      <c r="B4" s="532"/>
      <c r="C4" s="532"/>
      <c r="D4" s="532"/>
      <c r="E4" s="532"/>
      <c r="F4" s="532"/>
      <c r="G4" s="532"/>
      <c r="H4" s="532"/>
      <c r="I4" s="532"/>
      <c r="J4" s="552"/>
    </row>
    <row r="5" spans="1:10" x14ac:dyDescent="0.2">
      <c r="A5" s="551" t="s">
        <v>400</v>
      </c>
      <c r="B5" s="532"/>
      <c r="C5" s="532"/>
      <c r="D5" s="532"/>
      <c r="E5" s="532"/>
      <c r="F5" s="532"/>
      <c r="G5" s="532"/>
      <c r="H5" s="532"/>
      <c r="I5" s="532"/>
      <c r="J5" s="552"/>
    </row>
    <row r="6" spans="1:10" x14ac:dyDescent="0.2">
      <c r="A6" s="21" t="s">
        <v>401</v>
      </c>
      <c r="B6" s="22"/>
      <c r="C6" s="22"/>
      <c r="D6" s="22"/>
      <c r="E6" s="22"/>
      <c r="F6" s="22"/>
      <c r="G6" s="22"/>
      <c r="H6" s="22"/>
      <c r="I6" s="30"/>
      <c r="J6" s="15"/>
    </row>
    <row r="7" spans="1:10" x14ac:dyDescent="0.2">
      <c r="A7" s="16" t="s">
        <v>402</v>
      </c>
      <c r="B7" s="11"/>
      <c r="C7" s="11"/>
      <c r="D7" s="11"/>
      <c r="E7" s="11"/>
      <c r="F7" s="11"/>
      <c r="G7" s="11"/>
      <c r="H7" s="11"/>
      <c r="I7" s="31"/>
      <c r="J7" s="12"/>
    </row>
    <row r="8" spans="1:10" x14ac:dyDescent="0.2">
      <c r="A8" s="560" t="s">
        <v>194</v>
      </c>
      <c r="B8" s="543"/>
      <c r="C8" s="543"/>
      <c r="D8" s="543"/>
      <c r="E8" s="543"/>
      <c r="F8" s="543"/>
      <c r="G8" s="543"/>
      <c r="H8" s="543"/>
      <c r="I8" s="543"/>
      <c r="J8" s="544"/>
    </row>
    <row r="9" spans="1:10" x14ac:dyDescent="0.2">
      <c r="A9" s="550"/>
      <c r="B9" s="234"/>
      <c r="C9" s="234"/>
      <c r="D9" s="234"/>
      <c r="E9" s="234"/>
      <c r="F9" s="234"/>
      <c r="G9" s="234"/>
      <c r="H9" s="234"/>
      <c r="I9" s="234"/>
      <c r="J9" s="235"/>
    </row>
    <row r="10" spans="1:10" x14ac:dyDescent="0.2">
      <c r="A10" s="236"/>
      <c r="B10" s="237"/>
      <c r="C10" s="237"/>
      <c r="D10" s="237"/>
      <c r="E10" s="237"/>
      <c r="F10" s="237"/>
      <c r="G10" s="237"/>
      <c r="H10" s="237"/>
      <c r="I10" s="237"/>
      <c r="J10" s="238"/>
    </row>
    <row r="11" spans="1:10" x14ac:dyDescent="0.2">
      <c r="A11" s="236"/>
      <c r="B11" s="237"/>
      <c r="C11" s="237"/>
      <c r="D11" s="237"/>
      <c r="E11" s="237"/>
      <c r="F11" s="237"/>
      <c r="G11" s="237"/>
      <c r="H11" s="237"/>
      <c r="I11" s="237"/>
      <c r="J11" s="238"/>
    </row>
    <row r="12" spans="1:10" x14ac:dyDescent="0.2">
      <c r="A12" s="236"/>
      <c r="B12" s="237"/>
      <c r="C12" s="237"/>
      <c r="D12" s="237"/>
      <c r="E12" s="237"/>
      <c r="F12" s="237"/>
      <c r="G12" s="237"/>
      <c r="H12" s="237"/>
      <c r="I12" s="237"/>
      <c r="J12" s="238"/>
    </row>
    <row r="13" spans="1:10" x14ac:dyDescent="0.2">
      <c r="A13" s="236"/>
      <c r="B13" s="237"/>
      <c r="C13" s="237"/>
      <c r="D13" s="237"/>
      <c r="E13" s="237"/>
      <c r="F13" s="237"/>
      <c r="G13" s="237"/>
      <c r="H13" s="237"/>
      <c r="I13" s="237"/>
      <c r="J13" s="238"/>
    </row>
    <row r="14" spans="1:10" x14ac:dyDescent="0.2">
      <c r="A14" s="236"/>
      <c r="B14" s="237"/>
      <c r="C14" s="237"/>
      <c r="D14" s="237"/>
      <c r="E14" s="237"/>
      <c r="F14" s="237"/>
      <c r="G14" s="237"/>
      <c r="H14" s="237"/>
      <c r="I14" s="237"/>
      <c r="J14" s="238"/>
    </row>
    <row r="15" spans="1:10" x14ac:dyDescent="0.2">
      <c r="A15" s="236"/>
      <c r="B15" s="237"/>
      <c r="C15" s="237"/>
      <c r="D15" s="237"/>
      <c r="E15" s="237"/>
      <c r="F15" s="237"/>
      <c r="G15" s="237"/>
      <c r="H15" s="237"/>
      <c r="I15" s="237"/>
      <c r="J15" s="238"/>
    </row>
    <row r="16" spans="1:10" x14ac:dyDescent="0.2">
      <c r="A16" s="236"/>
      <c r="B16" s="237"/>
      <c r="C16" s="237"/>
      <c r="D16" s="237"/>
      <c r="E16" s="237"/>
      <c r="F16" s="237"/>
      <c r="G16" s="237"/>
      <c r="H16" s="237"/>
      <c r="I16" s="237"/>
      <c r="J16" s="238"/>
    </row>
    <row r="17" spans="1:10" x14ac:dyDescent="0.2">
      <c r="A17" s="236"/>
      <c r="B17" s="237"/>
      <c r="C17" s="237"/>
      <c r="D17" s="237"/>
      <c r="E17" s="237"/>
      <c r="F17" s="237"/>
      <c r="G17" s="237"/>
      <c r="H17" s="237"/>
      <c r="I17" s="237"/>
      <c r="J17" s="238"/>
    </row>
    <row r="18" spans="1:10" x14ac:dyDescent="0.2">
      <c r="A18" s="236"/>
      <c r="B18" s="237"/>
      <c r="C18" s="237"/>
      <c r="D18" s="237"/>
      <c r="E18" s="237"/>
      <c r="F18" s="237"/>
      <c r="G18" s="237"/>
      <c r="H18" s="237"/>
      <c r="I18" s="237"/>
      <c r="J18" s="238"/>
    </row>
    <row r="19" spans="1:10" x14ac:dyDescent="0.2">
      <c r="A19" s="236"/>
      <c r="B19" s="237"/>
      <c r="C19" s="237"/>
      <c r="D19" s="237"/>
      <c r="E19" s="237"/>
      <c r="F19" s="237"/>
      <c r="G19" s="237"/>
      <c r="H19" s="237"/>
      <c r="I19" s="237"/>
      <c r="J19" s="238"/>
    </row>
    <row r="20" spans="1:10" x14ac:dyDescent="0.2">
      <c r="A20" s="236"/>
      <c r="B20" s="237"/>
      <c r="C20" s="237"/>
      <c r="D20" s="237"/>
      <c r="E20" s="237"/>
      <c r="F20" s="237"/>
      <c r="G20" s="237"/>
      <c r="H20" s="237"/>
      <c r="I20" s="237"/>
      <c r="J20" s="238"/>
    </row>
    <row r="21" spans="1:10" x14ac:dyDescent="0.2">
      <c r="A21" s="236"/>
      <c r="B21" s="237"/>
      <c r="C21" s="237"/>
      <c r="D21" s="237"/>
      <c r="E21" s="237"/>
      <c r="F21" s="237"/>
      <c r="G21" s="237"/>
      <c r="H21" s="237"/>
      <c r="I21" s="237"/>
      <c r="J21" s="238"/>
    </row>
    <row r="22" spans="1:10" x14ac:dyDescent="0.2">
      <c r="A22" s="236"/>
      <c r="B22" s="237"/>
      <c r="C22" s="237"/>
      <c r="D22" s="237"/>
      <c r="E22" s="237"/>
      <c r="F22" s="237"/>
      <c r="G22" s="237"/>
      <c r="H22" s="237"/>
      <c r="I22" s="237"/>
      <c r="J22" s="238"/>
    </row>
    <row r="23" spans="1:10" x14ac:dyDescent="0.2">
      <c r="A23" s="236"/>
      <c r="B23" s="237"/>
      <c r="C23" s="237"/>
      <c r="D23" s="237"/>
      <c r="E23" s="237"/>
      <c r="F23" s="237"/>
      <c r="G23" s="237"/>
      <c r="H23" s="237"/>
      <c r="I23" s="237"/>
      <c r="J23" s="238"/>
    </row>
    <row r="24" spans="1:10" x14ac:dyDescent="0.2">
      <c r="A24" s="239"/>
      <c r="B24" s="240"/>
      <c r="C24" s="240"/>
      <c r="D24" s="240"/>
      <c r="E24" s="240"/>
      <c r="F24" s="240"/>
      <c r="G24" s="240"/>
      <c r="H24" s="240"/>
      <c r="I24" s="240"/>
      <c r="J24" s="241"/>
    </row>
    <row r="25" spans="1:10" ht="15.75" x14ac:dyDescent="0.25">
      <c r="A25" s="557" t="s">
        <v>213</v>
      </c>
      <c r="B25" s="558"/>
      <c r="C25" s="558"/>
      <c r="D25" s="559"/>
      <c r="E25" s="557"/>
      <c r="F25" s="559"/>
      <c r="G25" s="557"/>
      <c r="H25" s="558"/>
      <c r="I25" s="558"/>
      <c r="J25" s="559"/>
    </row>
    <row r="26" spans="1:10" x14ac:dyDescent="0.2">
      <c r="A26" s="561" t="s">
        <v>195</v>
      </c>
      <c r="B26" s="562"/>
      <c r="C26" s="562"/>
      <c r="D26" s="562"/>
      <c r="E26" s="562"/>
      <c r="F26" s="562"/>
      <c r="G26" s="562"/>
      <c r="H26" s="562"/>
      <c r="I26" s="562"/>
      <c r="J26" s="563"/>
    </row>
    <row r="27" spans="1:10" x14ac:dyDescent="0.2">
      <c r="A27" s="564"/>
      <c r="B27" s="565"/>
      <c r="C27" s="565"/>
      <c r="D27" s="565"/>
      <c r="E27" s="565"/>
      <c r="F27" s="565"/>
      <c r="G27" s="565"/>
      <c r="H27" s="565"/>
      <c r="I27" s="565"/>
      <c r="J27" s="566"/>
    </row>
    <row r="28" spans="1:10" x14ac:dyDescent="0.2">
      <c r="A28" s="567"/>
      <c r="B28" s="568"/>
      <c r="C28" s="568"/>
      <c r="D28" s="568"/>
      <c r="E28" s="568"/>
      <c r="F28" s="568"/>
      <c r="G28" s="568"/>
      <c r="H28" s="568"/>
      <c r="I28" s="568"/>
      <c r="J28" s="569"/>
    </row>
    <row r="29" spans="1:10" x14ac:dyDescent="0.2">
      <c r="A29" s="550"/>
      <c r="B29" s="234"/>
      <c r="C29" s="234"/>
      <c r="D29" s="234"/>
      <c r="E29" s="234"/>
      <c r="F29" s="234"/>
      <c r="G29" s="234"/>
      <c r="H29" s="234"/>
      <c r="I29" s="234"/>
      <c r="J29" s="235"/>
    </row>
    <row r="30" spans="1:10" x14ac:dyDescent="0.2">
      <c r="A30" s="236"/>
      <c r="B30" s="237"/>
      <c r="C30" s="237"/>
      <c r="D30" s="237"/>
      <c r="E30" s="237"/>
      <c r="F30" s="237"/>
      <c r="G30" s="237"/>
      <c r="H30" s="237"/>
      <c r="I30" s="237"/>
      <c r="J30" s="238"/>
    </row>
    <row r="31" spans="1:10" x14ac:dyDescent="0.2">
      <c r="A31" s="236"/>
      <c r="B31" s="237"/>
      <c r="C31" s="237"/>
      <c r="D31" s="237"/>
      <c r="E31" s="237"/>
      <c r="F31" s="237"/>
      <c r="G31" s="237"/>
      <c r="H31" s="237"/>
      <c r="I31" s="237"/>
      <c r="J31" s="238"/>
    </row>
    <row r="32" spans="1:10" x14ac:dyDescent="0.2">
      <c r="A32" s="236"/>
      <c r="B32" s="237"/>
      <c r="C32" s="237"/>
      <c r="D32" s="237"/>
      <c r="E32" s="237"/>
      <c r="F32" s="237"/>
      <c r="G32" s="237"/>
      <c r="H32" s="237"/>
      <c r="I32" s="237"/>
      <c r="J32" s="238"/>
    </row>
    <row r="33" spans="1:10" x14ac:dyDescent="0.2">
      <c r="A33" s="236"/>
      <c r="B33" s="237"/>
      <c r="C33" s="237"/>
      <c r="D33" s="237"/>
      <c r="E33" s="237"/>
      <c r="F33" s="237"/>
      <c r="G33" s="237"/>
      <c r="H33" s="237"/>
      <c r="I33" s="237"/>
      <c r="J33" s="238"/>
    </row>
    <row r="34" spans="1:10" x14ac:dyDescent="0.2">
      <c r="A34" s="236"/>
      <c r="B34" s="237"/>
      <c r="C34" s="237"/>
      <c r="D34" s="237"/>
      <c r="E34" s="237"/>
      <c r="F34" s="237"/>
      <c r="G34" s="237"/>
      <c r="H34" s="237"/>
      <c r="I34" s="237"/>
      <c r="J34" s="238"/>
    </row>
    <row r="35" spans="1:10" x14ac:dyDescent="0.2">
      <c r="A35" s="236"/>
      <c r="B35" s="237"/>
      <c r="C35" s="237"/>
      <c r="D35" s="237"/>
      <c r="E35" s="237"/>
      <c r="F35" s="237"/>
      <c r="G35" s="237"/>
      <c r="H35" s="237"/>
      <c r="I35" s="237"/>
      <c r="J35" s="238"/>
    </row>
    <row r="36" spans="1:10" x14ac:dyDescent="0.2">
      <c r="A36" s="236"/>
      <c r="B36" s="237"/>
      <c r="C36" s="237"/>
      <c r="D36" s="237"/>
      <c r="E36" s="237"/>
      <c r="F36" s="237"/>
      <c r="G36" s="237"/>
      <c r="H36" s="237"/>
      <c r="I36" s="237"/>
      <c r="J36" s="238"/>
    </row>
    <row r="37" spans="1:10" x14ac:dyDescent="0.2">
      <c r="A37" s="236"/>
      <c r="B37" s="237"/>
      <c r="C37" s="237"/>
      <c r="D37" s="237"/>
      <c r="E37" s="237"/>
      <c r="F37" s="237"/>
      <c r="G37" s="237"/>
      <c r="H37" s="237"/>
      <c r="I37" s="237"/>
      <c r="J37" s="238"/>
    </row>
    <row r="38" spans="1:10" x14ac:dyDescent="0.2">
      <c r="A38" s="236"/>
      <c r="B38" s="237"/>
      <c r="C38" s="237"/>
      <c r="D38" s="237"/>
      <c r="E38" s="237"/>
      <c r="F38" s="237"/>
      <c r="G38" s="237"/>
      <c r="H38" s="237"/>
      <c r="I38" s="237"/>
      <c r="J38" s="238"/>
    </row>
    <row r="39" spans="1:10" x14ac:dyDescent="0.2">
      <c r="A39" s="236"/>
      <c r="B39" s="237"/>
      <c r="C39" s="237"/>
      <c r="D39" s="237"/>
      <c r="E39" s="237"/>
      <c r="F39" s="237"/>
      <c r="G39" s="237"/>
      <c r="H39" s="237"/>
      <c r="I39" s="237"/>
      <c r="J39" s="238"/>
    </row>
    <row r="40" spans="1:10" x14ac:dyDescent="0.2">
      <c r="A40" s="236"/>
      <c r="B40" s="237"/>
      <c r="C40" s="237"/>
      <c r="D40" s="237"/>
      <c r="E40" s="237"/>
      <c r="F40" s="237"/>
      <c r="G40" s="237"/>
      <c r="H40" s="237"/>
      <c r="I40" s="237"/>
      <c r="J40" s="238"/>
    </row>
    <row r="41" spans="1:10" x14ac:dyDescent="0.2">
      <c r="A41" s="236"/>
      <c r="B41" s="237"/>
      <c r="C41" s="237"/>
      <c r="D41" s="237"/>
      <c r="E41" s="237"/>
      <c r="F41" s="237"/>
      <c r="G41" s="237"/>
      <c r="H41" s="237"/>
      <c r="I41" s="237"/>
      <c r="J41" s="238"/>
    </row>
    <row r="42" spans="1:10" x14ac:dyDescent="0.2">
      <c r="A42" s="236"/>
      <c r="B42" s="237"/>
      <c r="C42" s="237"/>
      <c r="D42" s="237"/>
      <c r="E42" s="237"/>
      <c r="F42" s="237"/>
      <c r="G42" s="237"/>
      <c r="H42" s="237"/>
      <c r="I42" s="237"/>
      <c r="J42" s="238"/>
    </row>
    <row r="43" spans="1:10" x14ac:dyDescent="0.2">
      <c r="A43" s="239"/>
      <c r="B43" s="240"/>
      <c r="C43" s="240"/>
      <c r="D43" s="240"/>
      <c r="E43" s="240"/>
      <c r="F43" s="240"/>
      <c r="G43" s="240"/>
      <c r="H43" s="240"/>
      <c r="I43" s="240"/>
      <c r="J43" s="241"/>
    </row>
    <row r="44" spans="1:10" x14ac:dyDescent="0.2">
      <c r="A44" s="32"/>
      <c r="B44" s="32"/>
      <c r="C44" s="32"/>
      <c r="D44" s="32"/>
      <c r="E44" s="32"/>
      <c r="F44" s="32"/>
      <c r="G44" s="32"/>
      <c r="H44" s="32"/>
      <c r="I44" s="32"/>
      <c r="J44" s="32"/>
    </row>
    <row r="45" spans="1:10" x14ac:dyDescent="0.2">
      <c r="A45" s="32"/>
      <c r="B45" s="32"/>
      <c r="C45" s="32"/>
      <c r="D45" s="32"/>
      <c r="E45" s="32"/>
      <c r="F45" s="32"/>
      <c r="G45" s="32"/>
      <c r="H45" s="32"/>
      <c r="I45" s="32"/>
      <c r="J45" s="32"/>
    </row>
    <row r="46" spans="1:10" x14ac:dyDescent="0.2">
      <c r="A46" s="32"/>
      <c r="B46" s="32"/>
      <c r="C46" s="32"/>
      <c r="D46" s="32"/>
      <c r="E46" s="32"/>
      <c r="F46" s="32"/>
      <c r="G46" s="32"/>
      <c r="H46" s="32"/>
      <c r="I46" s="32"/>
      <c r="J46" s="32"/>
    </row>
    <row r="47" spans="1:10" x14ac:dyDescent="0.2">
      <c r="A47" s="32"/>
      <c r="B47" s="32"/>
      <c r="C47" s="32"/>
      <c r="D47" s="32"/>
      <c r="E47" s="32"/>
      <c r="F47" s="32"/>
      <c r="G47" s="32"/>
      <c r="H47" s="32"/>
      <c r="I47" s="32"/>
      <c r="J47" s="32"/>
    </row>
    <row r="48" spans="1:10" x14ac:dyDescent="0.2">
      <c r="A48" s="32"/>
      <c r="B48" s="32"/>
      <c r="C48" s="32"/>
      <c r="D48" s="32"/>
      <c r="E48" s="32"/>
      <c r="F48" s="32"/>
      <c r="G48" s="32"/>
      <c r="H48" s="32"/>
      <c r="I48" s="32"/>
      <c r="J48" s="32"/>
    </row>
    <row r="49" spans="1:10" x14ac:dyDescent="0.2">
      <c r="A49" s="32"/>
      <c r="B49" s="32"/>
      <c r="C49" s="32"/>
      <c r="D49" s="32"/>
      <c r="E49" s="32"/>
      <c r="F49" s="32"/>
      <c r="G49" s="32"/>
      <c r="H49" s="32"/>
      <c r="I49" s="32"/>
      <c r="J49" s="32"/>
    </row>
    <row r="50" spans="1:10" x14ac:dyDescent="0.2">
      <c r="A50" s="32"/>
      <c r="B50" s="32"/>
      <c r="C50" s="32"/>
      <c r="D50" s="32"/>
      <c r="E50" s="32"/>
      <c r="F50" s="32"/>
      <c r="G50" s="32"/>
      <c r="H50" s="32"/>
      <c r="I50" s="32"/>
      <c r="J50" s="32"/>
    </row>
    <row r="51" spans="1:10" x14ac:dyDescent="0.2">
      <c r="A51" s="32"/>
      <c r="B51" s="32"/>
      <c r="C51" s="32"/>
      <c r="D51" s="32"/>
      <c r="E51" s="32"/>
      <c r="F51" s="32"/>
      <c r="G51" s="32"/>
      <c r="H51" s="32"/>
      <c r="I51" s="32"/>
      <c r="J51" s="32"/>
    </row>
    <row r="53" spans="1:10" x14ac:dyDescent="0.2">
      <c r="A53" s="532" t="s">
        <v>403</v>
      </c>
      <c r="B53" s="532"/>
      <c r="C53" s="532"/>
      <c r="D53" s="532"/>
      <c r="E53" s="532"/>
      <c r="F53" s="532"/>
      <c r="G53" s="532"/>
      <c r="H53" s="532"/>
      <c r="I53" s="532"/>
      <c r="J53" s="532"/>
    </row>
    <row r="54" spans="1:10" x14ac:dyDescent="0.2">
      <c r="A54" s="570" t="s">
        <v>404</v>
      </c>
      <c r="B54" s="570"/>
      <c r="C54" s="570"/>
      <c r="D54" s="570"/>
      <c r="E54" s="570"/>
      <c r="F54" s="570"/>
      <c r="G54" s="570"/>
      <c r="H54" s="570"/>
      <c r="I54" s="570"/>
      <c r="J54" s="570"/>
    </row>
    <row r="56" spans="1:10" x14ac:dyDescent="0.2">
      <c r="A56" s="531" t="s">
        <v>325</v>
      </c>
      <c r="B56" s="531"/>
      <c r="C56" s="531"/>
      <c r="D56" s="531"/>
      <c r="E56" s="532" t="str">
        <f>County</f>
        <v>Los Angeles</v>
      </c>
      <c r="F56" s="532"/>
      <c r="G56" s="532"/>
      <c r="H56" s="532"/>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ColWidth="8.85546875" defaultRowHeight="12.75" x14ac:dyDescent="0.2"/>
  <cols>
    <col min="1" max="1" width="43.42578125" customWidth="1"/>
    <col min="2" max="2" width="21.7109375" customWidth="1"/>
  </cols>
  <sheetData>
    <row r="1" spans="1:2" x14ac:dyDescent="0.2">
      <c r="A1" t="s">
        <v>539</v>
      </c>
      <c r="B1" s="18" t="str">
        <f>County</f>
        <v>Los Angeles</v>
      </c>
    </row>
    <row r="2" spans="1:2" x14ac:dyDescent="0.2">
      <c r="A2" t="s">
        <v>541</v>
      </c>
      <c r="B2" s="20">
        <f>Reportdate</f>
        <v>44829</v>
      </c>
    </row>
    <row r="3" spans="1:2" x14ac:dyDescent="0.2">
      <c r="A3" t="s">
        <v>542</v>
      </c>
      <c r="B3" s="19" t="e">
        <f>Chief</f>
        <v>#REF!</v>
      </c>
    </row>
    <row r="4" spans="1:2" x14ac:dyDescent="0.2">
      <c r="A4" t="s">
        <v>543</v>
      </c>
      <c r="B4" t="e">
        <f>Chiefphone2</f>
        <v>#REF!</v>
      </c>
    </row>
    <row r="5" spans="1:2" x14ac:dyDescent="0.2">
      <c r="A5" t="s">
        <v>540</v>
      </c>
      <c r="B5" t="e">
        <f>Address</f>
        <v>#REF!</v>
      </c>
    </row>
    <row r="6" spans="1:2" x14ac:dyDescent="0.2">
      <c r="A6" t="s">
        <v>544</v>
      </c>
      <c r="B6" t="e">
        <f>City</f>
        <v>#REF!</v>
      </c>
    </row>
    <row r="7" spans="1:2" x14ac:dyDescent="0.2">
      <c r="A7" t="s">
        <v>546</v>
      </c>
      <c r="B7" s="7" t="e">
        <f>ZIP</f>
        <v>#REF!</v>
      </c>
    </row>
    <row r="8" spans="1:2" x14ac:dyDescent="0.2">
      <c r="A8" t="s">
        <v>545</v>
      </c>
      <c r="B8" t="e">
        <f>Chiefemail2</f>
        <v>#REF!</v>
      </c>
    </row>
    <row r="9" spans="1:2" x14ac:dyDescent="0.2">
      <c r="A9" t="s">
        <v>192</v>
      </c>
      <c r="B9" t="str">
        <f>primcontact</f>
        <v>Sharon Harada</v>
      </c>
    </row>
    <row r="10" spans="1:2" x14ac:dyDescent="0.2">
      <c r="A10" t="s">
        <v>218</v>
      </c>
      <c r="B10" t="str">
        <f>primarytitle</f>
        <v>Bureau Chief</v>
      </c>
    </row>
    <row r="11" spans="1:2" x14ac:dyDescent="0.2">
      <c r="A11" t="s">
        <v>217</v>
      </c>
      <c r="B11" t="str">
        <f>primphone</f>
        <v>562-940-2507</v>
      </c>
    </row>
    <row r="12" spans="1:2" x14ac:dyDescent="0.2">
      <c r="A12" t="s">
        <v>193</v>
      </c>
      <c r="B12" t="str">
        <f>preemail</f>
        <v>sharon.harada@probation.lacounty.gov</v>
      </c>
    </row>
    <row r="13" spans="1:2" x14ac:dyDescent="0.2">
      <c r="A13" t="s">
        <v>365</v>
      </c>
      <c r="B13" t="str">
        <f>seccontact</f>
        <v>Sharon Hawkins</v>
      </c>
    </row>
    <row r="14" spans="1:2" x14ac:dyDescent="0.2">
      <c r="A14" t="s">
        <v>366</v>
      </c>
      <c r="B14" t="str">
        <f>seccontitle</f>
        <v>Probation Director</v>
      </c>
    </row>
    <row r="15" spans="1:2" x14ac:dyDescent="0.2">
      <c r="A15" t="s">
        <v>367</v>
      </c>
      <c r="B15" t="str">
        <f>secphone</f>
        <v>562-319-7341</v>
      </c>
    </row>
    <row r="16" spans="1:2" x14ac:dyDescent="0.2">
      <c r="A16" t="s">
        <v>368</v>
      </c>
      <c r="B16" t="str">
        <f>secemail</f>
        <v>sharon.hawkins@probation.lacounty.gov</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t="e">
        <f>Numecodet1</f>
        <v>#REF!</v>
      </c>
    </row>
    <row r="22" spans="1:2" x14ac:dyDescent="0.2">
      <c r="A22" t="s">
        <v>586</v>
      </c>
      <c r="B22" t="e">
        <f>Numealtt1</f>
        <v>#REF!</v>
      </c>
    </row>
    <row r="23" spans="1:2" x14ac:dyDescent="0.2">
      <c r="A23" t="s">
        <v>547</v>
      </c>
      <c r="B23" s="8">
        <f>t1yobgsal</f>
        <v>0</v>
      </c>
    </row>
    <row r="24" spans="1:2" x14ac:dyDescent="0.2">
      <c r="A24" t="s">
        <v>548</v>
      </c>
      <c r="B24" s="8">
        <f>t1yobgserv</f>
        <v>0</v>
      </c>
    </row>
    <row r="25" spans="1:2" x14ac:dyDescent="0.2">
      <c r="A25" t="s">
        <v>549</v>
      </c>
      <c r="B25" s="8">
        <f>t1yobgprof</f>
        <v>0</v>
      </c>
    </row>
    <row r="26" spans="1:2" x14ac:dyDescent="0.2">
      <c r="A26" t="s">
        <v>550</v>
      </c>
      <c r="B26" s="8">
        <f>t1yobgcbo</f>
        <v>0</v>
      </c>
    </row>
    <row r="27" spans="1:2" x14ac:dyDescent="0.2">
      <c r="A27" t="s">
        <v>551</v>
      </c>
      <c r="B27" s="8">
        <f>t1yobgequip</f>
        <v>0</v>
      </c>
    </row>
    <row r="28" spans="1:2" x14ac:dyDescent="0.2">
      <c r="A28" t="s">
        <v>552</v>
      </c>
      <c r="B28" s="8">
        <f>t1yobgadmin</f>
        <v>0</v>
      </c>
    </row>
    <row r="29" spans="1:2" x14ac:dyDescent="0.2">
      <c r="A29" t="s">
        <v>553</v>
      </c>
      <c r="B29" s="8">
        <f>t1yobgothr1</f>
        <v>0</v>
      </c>
    </row>
    <row r="30" spans="1:2" x14ac:dyDescent="0.2">
      <c r="A30" t="s">
        <v>554</v>
      </c>
      <c r="B30" s="8">
        <f>t1yobgothr2</f>
        <v>0</v>
      </c>
    </row>
    <row r="31" spans="1:2" x14ac:dyDescent="0.2">
      <c r="A31" t="s">
        <v>582</v>
      </c>
      <c r="B31" s="8">
        <f>t1yobgothr3</f>
        <v>0</v>
      </c>
    </row>
    <row r="32" spans="1:2" x14ac:dyDescent="0.2">
      <c r="A32" t="s">
        <v>555</v>
      </c>
      <c r="B32" s="8">
        <f>t1yobgtot</f>
        <v>0</v>
      </c>
    </row>
    <row r="33" spans="1:2" x14ac:dyDescent="0.2">
      <c r="A33" t="s">
        <v>556</v>
      </c>
      <c r="B33" s="8">
        <f>t1jjcpasal</f>
        <v>19097053</v>
      </c>
    </row>
    <row r="34" spans="1:2" x14ac:dyDescent="0.2">
      <c r="A34" t="s">
        <v>557</v>
      </c>
      <c r="B34" s="8">
        <f>t1jjcpaserv</f>
        <v>8767159</v>
      </c>
    </row>
    <row r="35" spans="1:2" x14ac:dyDescent="0.2">
      <c r="A35" t="s">
        <v>558</v>
      </c>
      <c r="B35" s="8">
        <f>t1jjcpaprof</f>
        <v>1367311</v>
      </c>
    </row>
    <row r="36" spans="1:2" x14ac:dyDescent="0.2">
      <c r="A36" t="s">
        <v>559</v>
      </c>
      <c r="B36" s="8">
        <f>t1jjcpacbo</f>
        <v>292135</v>
      </c>
    </row>
    <row r="37" spans="1:2" x14ac:dyDescent="0.2">
      <c r="A37" t="s">
        <v>560</v>
      </c>
      <c r="B37" s="8">
        <f>t1jjcpaequip</f>
        <v>0</v>
      </c>
    </row>
    <row r="38" spans="1:2" x14ac:dyDescent="0.2">
      <c r="A38" t="s">
        <v>561</v>
      </c>
      <c r="B38" s="8">
        <f>t1jjcpaadmin</f>
        <v>0</v>
      </c>
    </row>
    <row r="39" spans="1:2" x14ac:dyDescent="0.2">
      <c r="A39" t="s">
        <v>562</v>
      </c>
      <c r="B39" s="8">
        <f>t1jjcpaothr1</f>
        <v>0</v>
      </c>
    </row>
    <row r="40" spans="1:2" x14ac:dyDescent="0.2">
      <c r="A40" t="s">
        <v>563</v>
      </c>
      <c r="B40" s="8">
        <f>t1jjcpaothr2</f>
        <v>0</v>
      </c>
    </row>
    <row r="41" spans="1:2" x14ac:dyDescent="0.2">
      <c r="A41" t="s">
        <v>583</v>
      </c>
      <c r="B41" s="8">
        <f>t1jjcpaothr3</f>
        <v>0</v>
      </c>
    </row>
    <row r="42" spans="1:2" x14ac:dyDescent="0.2">
      <c r="A42" t="s">
        <v>564</v>
      </c>
      <c r="B42" s="8">
        <f>t1jjcpatot</f>
        <v>29523658</v>
      </c>
    </row>
    <row r="43" spans="1:2" x14ac:dyDescent="0.2">
      <c r="A43" t="s">
        <v>565</v>
      </c>
      <c r="B43" s="8">
        <f>t1othersal</f>
        <v>0</v>
      </c>
    </row>
    <row r="44" spans="1:2" x14ac:dyDescent="0.2">
      <c r="A44" t="s">
        <v>566</v>
      </c>
      <c r="B44" s="8">
        <f>t1otherserv</f>
        <v>0</v>
      </c>
    </row>
    <row r="45" spans="1:2" x14ac:dyDescent="0.2">
      <c r="A45" t="s">
        <v>567</v>
      </c>
      <c r="B45" s="8">
        <f>t1otherprof</f>
        <v>0</v>
      </c>
    </row>
    <row r="46" spans="1:2" x14ac:dyDescent="0.2">
      <c r="A46" t="s">
        <v>568</v>
      </c>
      <c r="B46" s="8">
        <f>t1othercbo</f>
        <v>0</v>
      </c>
    </row>
    <row r="47" spans="1:2" x14ac:dyDescent="0.2">
      <c r="A47" t="s">
        <v>569</v>
      </c>
      <c r="B47" s="8">
        <f>t1otherequip</f>
        <v>0</v>
      </c>
    </row>
    <row r="48" spans="1:2" x14ac:dyDescent="0.2">
      <c r="A48" t="s">
        <v>570</v>
      </c>
      <c r="B48" s="8">
        <f>t1otheradmin</f>
        <v>0</v>
      </c>
    </row>
    <row r="49" spans="1:2" x14ac:dyDescent="0.2">
      <c r="A49" t="s">
        <v>571</v>
      </c>
      <c r="B49" s="8">
        <f>t1otherothr1</f>
        <v>0</v>
      </c>
    </row>
    <row r="50" spans="1:2" x14ac:dyDescent="0.2">
      <c r="A50" t="s">
        <v>572</v>
      </c>
      <c r="B50" s="8">
        <f>t1otherothr2</f>
        <v>0</v>
      </c>
    </row>
    <row r="51" spans="1:2" x14ac:dyDescent="0.2">
      <c r="A51" t="s">
        <v>584</v>
      </c>
      <c r="B51" s="8">
        <f>t1otherothr3</f>
        <v>0</v>
      </c>
    </row>
    <row r="52" spans="1:2" x14ac:dyDescent="0.2">
      <c r="A52" t="s">
        <v>573</v>
      </c>
      <c r="B52" s="8">
        <f>t1othertot</f>
        <v>0</v>
      </c>
    </row>
    <row r="53" spans="1:2" x14ac:dyDescent="0.2">
      <c r="A53" t="s">
        <v>574</v>
      </c>
      <c r="B53" s="7" t="e">
        <f>t1casecount</f>
        <v>#REF!</v>
      </c>
    </row>
    <row r="54" spans="1:2" x14ac:dyDescent="0.2">
      <c r="A54" t="s">
        <v>575</v>
      </c>
      <c r="B54" s="9" t="e">
        <f>t1yobgpercap</f>
        <v>#REF!</v>
      </c>
    </row>
    <row r="55" spans="1:2" x14ac:dyDescent="0.2">
      <c r="A55" t="s">
        <v>576</v>
      </c>
      <c r="B55" s="9" t="e">
        <f>t1totpercap</f>
        <v>#REF!</v>
      </c>
    </row>
    <row r="56" spans="1:2" x14ac:dyDescent="0.2">
      <c r="A56" t="s">
        <v>578</v>
      </c>
      <c r="B56" s="7" t="e">
        <f>t1youth1</f>
        <v>#REF!</v>
      </c>
    </row>
    <row r="57" spans="1:2" x14ac:dyDescent="0.2">
      <c r="A57" t="s">
        <v>579</v>
      </c>
      <c r="B57" s="7" t="e">
        <f>t1youth2</f>
        <v>#REF!</v>
      </c>
    </row>
    <row r="58" spans="1:2" x14ac:dyDescent="0.2">
      <c r="A58" t="s">
        <v>580</v>
      </c>
      <c r="B58" s="7" t="e">
        <f>t1youth3</f>
        <v>#REF!</v>
      </c>
    </row>
    <row r="59" spans="1:2" x14ac:dyDescent="0.2">
      <c r="A59" t="s">
        <v>581</v>
      </c>
      <c r="B59" s="7" t="e">
        <f>t1youth4</f>
        <v>#REF!</v>
      </c>
    </row>
    <row r="60" spans="1:2" x14ac:dyDescent="0.2">
      <c r="A60" t="s">
        <v>219</v>
      </c>
      <c r="B60" s="7" t="e">
        <f>t1youth5</f>
        <v>#REF!</v>
      </c>
    </row>
    <row r="61" spans="1:2" x14ac:dyDescent="0.2">
      <c r="A61" t="s">
        <v>220</v>
      </c>
      <c r="B61" s="7" t="e">
        <f>t1youth6</f>
        <v>#REF!</v>
      </c>
    </row>
    <row r="62" spans="1:2" x14ac:dyDescent="0.2">
      <c r="A62" t="s">
        <v>587</v>
      </c>
      <c r="B62" t="e">
        <f>Numecodet2</f>
        <v>#REF!</v>
      </c>
    </row>
    <row r="63" spans="1:2" x14ac:dyDescent="0.2">
      <c r="A63" t="s">
        <v>588</v>
      </c>
      <c r="B63" t="e">
        <f>Numealtt2</f>
        <v>#REF!</v>
      </c>
    </row>
    <row r="64" spans="1:2" x14ac:dyDescent="0.2">
      <c r="A64" t="s">
        <v>589</v>
      </c>
      <c r="B64" s="8" t="e">
        <f>t2yobgsal</f>
        <v>#REF!</v>
      </c>
    </row>
    <row r="65" spans="1:2" x14ac:dyDescent="0.2">
      <c r="A65" t="s">
        <v>590</v>
      </c>
      <c r="B65" s="8" t="e">
        <f>t2yobgserv</f>
        <v>#REF!</v>
      </c>
    </row>
    <row r="66" spans="1:2" x14ac:dyDescent="0.2">
      <c r="A66" t="s">
        <v>591</v>
      </c>
      <c r="B66" s="8" t="e">
        <f>t2yobgprof</f>
        <v>#REF!</v>
      </c>
    </row>
    <row r="67" spans="1:2" x14ac:dyDescent="0.2">
      <c r="A67" t="s">
        <v>592</v>
      </c>
      <c r="B67" s="8" t="e">
        <f>t2yobgcbo</f>
        <v>#REF!</v>
      </c>
    </row>
    <row r="68" spans="1:2" x14ac:dyDescent="0.2">
      <c r="A68" t="s">
        <v>593</v>
      </c>
      <c r="B68" s="8" t="e">
        <f>t2yobgequip</f>
        <v>#REF!</v>
      </c>
    </row>
    <row r="69" spans="1:2" x14ac:dyDescent="0.2">
      <c r="A69" t="s">
        <v>594</v>
      </c>
      <c r="B69" s="8" t="e">
        <f>t2yobgadmin</f>
        <v>#REF!</v>
      </c>
    </row>
    <row r="70" spans="1:2" x14ac:dyDescent="0.2">
      <c r="A70" t="s">
        <v>595</v>
      </c>
      <c r="B70" s="8" t="e">
        <f>t2yobgothr1</f>
        <v>#REF!</v>
      </c>
    </row>
    <row r="71" spans="1:2" x14ac:dyDescent="0.2">
      <c r="A71" t="s">
        <v>596</v>
      </c>
      <c r="B71" s="8" t="e">
        <f>t2yobgothr2</f>
        <v>#REF!</v>
      </c>
    </row>
    <row r="72" spans="1:2" x14ac:dyDescent="0.2">
      <c r="A72" t="s">
        <v>597</v>
      </c>
      <c r="B72" s="8" t="e">
        <f>t2yobgothr3</f>
        <v>#REF!</v>
      </c>
    </row>
    <row r="73" spans="1:2" x14ac:dyDescent="0.2">
      <c r="A73" t="s">
        <v>598</v>
      </c>
      <c r="B73" s="8" t="e">
        <f>t2yobgtot</f>
        <v>#REF!</v>
      </c>
    </row>
    <row r="74" spans="1:2" x14ac:dyDescent="0.2">
      <c r="A74" t="s">
        <v>599</v>
      </c>
      <c r="B74" s="8" t="e">
        <f>t2jjcpasal</f>
        <v>#REF!</v>
      </c>
    </row>
    <row r="75" spans="1:2" x14ac:dyDescent="0.2">
      <c r="A75" t="s">
        <v>600</v>
      </c>
      <c r="B75" s="8" t="e">
        <f>t2jjcpaserv</f>
        <v>#REF!</v>
      </c>
    </row>
    <row r="76" spans="1:2" x14ac:dyDescent="0.2">
      <c r="A76" t="s">
        <v>601</v>
      </c>
      <c r="B76" s="8" t="e">
        <f>t2jjcpaprof</f>
        <v>#REF!</v>
      </c>
    </row>
    <row r="77" spans="1:2" x14ac:dyDescent="0.2">
      <c r="A77" t="s">
        <v>602</v>
      </c>
      <c r="B77" s="8" t="e">
        <f>t2jjcpacbo</f>
        <v>#REF!</v>
      </c>
    </row>
    <row r="78" spans="1:2" x14ac:dyDescent="0.2">
      <c r="A78" t="s">
        <v>603</v>
      </c>
      <c r="B78" s="8" t="e">
        <f>t2jjcpaequip</f>
        <v>#REF!</v>
      </c>
    </row>
    <row r="79" spans="1:2" x14ac:dyDescent="0.2">
      <c r="A79" t="s">
        <v>604</v>
      </c>
      <c r="B79" s="8" t="e">
        <f>t2jjcpaadmin</f>
        <v>#REF!</v>
      </c>
    </row>
    <row r="80" spans="1:2" x14ac:dyDescent="0.2">
      <c r="A80" t="s">
        <v>605</v>
      </c>
      <c r="B80" s="8" t="e">
        <f>t2jjcpaothr1</f>
        <v>#REF!</v>
      </c>
    </row>
    <row r="81" spans="1:2" x14ac:dyDescent="0.2">
      <c r="A81" t="s">
        <v>606</v>
      </c>
      <c r="B81" s="8" t="e">
        <f>t2jjcpaothr2</f>
        <v>#REF!</v>
      </c>
    </row>
    <row r="82" spans="1:2" x14ac:dyDescent="0.2">
      <c r="A82" t="s">
        <v>607</v>
      </c>
      <c r="B82" s="8" t="e">
        <f>t2jjcpaothr3</f>
        <v>#REF!</v>
      </c>
    </row>
    <row r="83" spans="1:2" x14ac:dyDescent="0.2">
      <c r="A83" t="s">
        <v>608</v>
      </c>
      <c r="B83" s="8" t="e">
        <f>t2jjcpatot</f>
        <v>#REF!</v>
      </c>
    </row>
    <row r="84" spans="1:2" x14ac:dyDescent="0.2">
      <c r="A84" t="s">
        <v>609</v>
      </c>
      <c r="B84" s="8" t="e">
        <f>t2othersal</f>
        <v>#REF!</v>
      </c>
    </row>
    <row r="85" spans="1:2" x14ac:dyDescent="0.2">
      <c r="A85" t="s">
        <v>610</v>
      </c>
      <c r="B85" s="8" t="e">
        <f>t2otherserv</f>
        <v>#REF!</v>
      </c>
    </row>
    <row r="86" spans="1:2" x14ac:dyDescent="0.2">
      <c r="A86" t="s">
        <v>611</v>
      </c>
      <c r="B86" s="8" t="e">
        <f>t2otherprof</f>
        <v>#REF!</v>
      </c>
    </row>
    <row r="87" spans="1:2" x14ac:dyDescent="0.2">
      <c r="A87" t="s">
        <v>612</v>
      </c>
      <c r="B87" s="8" t="e">
        <f>t2othercbo</f>
        <v>#REF!</v>
      </c>
    </row>
    <row r="88" spans="1:2" x14ac:dyDescent="0.2">
      <c r="A88" t="s">
        <v>613</v>
      </c>
      <c r="B88" s="8" t="e">
        <f>t2otherequip</f>
        <v>#REF!</v>
      </c>
    </row>
    <row r="89" spans="1:2" x14ac:dyDescent="0.2">
      <c r="A89" t="s">
        <v>614</v>
      </c>
      <c r="B89" s="8" t="e">
        <f>t2otheradmin</f>
        <v>#REF!</v>
      </c>
    </row>
    <row r="90" spans="1:2" x14ac:dyDescent="0.2">
      <c r="A90" t="s">
        <v>615</v>
      </c>
      <c r="B90" s="8" t="e">
        <f>t2otherothr1</f>
        <v>#REF!</v>
      </c>
    </row>
    <row r="91" spans="1:2" x14ac:dyDescent="0.2">
      <c r="A91" t="s">
        <v>616</v>
      </c>
      <c r="B91" s="8" t="e">
        <f>t2otherothr2</f>
        <v>#REF!</v>
      </c>
    </row>
    <row r="92" spans="1:2" x14ac:dyDescent="0.2">
      <c r="A92" t="s">
        <v>617</v>
      </c>
      <c r="B92" s="8" t="e">
        <f>t2otherothr3</f>
        <v>#REF!</v>
      </c>
    </row>
    <row r="93" spans="1:2" x14ac:dyDescent="0.2">
      <c r="A93" t="s">
        <v>618</v>
      </c>
      <c r="B93" s="8" t="e">
        <f>t2othertot</f>
        <v>#REF!</v>
      </c>
    </row>
    <row r="94" spans="1:2" x14ac:dyDescent="0.2">
      <c r="A94" t="s">
        <v>619</v>
      </c>
      <c r="B94" s="7" t="e">
        <f>t2casecount</f>
        <v>#REF!</v>
      </c>
    </row>
    <row r="95" spans="1:2" x14ac:dyDescent="0.2">
      <c r="A95" t="s">
        <v>620</v>
      </c>
      <c r="B95" s="9" t="e">
        <f>t2yobgpercap</f>
        <v>#REF!</v>
      </c>
    </row>
    <row r="96" spans="1:2" x14ac:dyDescent="0.2">
      <c r="A96" t="s">
        <v>621</v>
      </c>
      <c r="B96" s="9" t="e">
        <f>t2totpercap</f>
        <v>#REF!</v>
      </c>
    </row>
    <row r="97" spans="1:2" x14ac:dyDescent="0.2">
      <c r="A97" t="s">
        <v>622</v>
      </c>
      <c r="B97" s="7" t="e">
        <f>t2youth1</f>
        <v>#REF!</v>
      </c>
    </row>
    <row r="98" spans="1:2" x14ac:dyDescent="0.2">
      <c r="A98" t="s">
        <v>623</v>
      </c>
      <c r="B98" s="7" t="e">
        <f>t2youth2</f>
        <v>#REF!</v>
      </c>
    </row>
    <row r="99" spans="1:2" x14ac:dyDescent="0.2">
      <c r="A99" t="s">
        <v>624</v>
      </c>
      <c r="B99" s="7" t="e">
        <f>t2youth3</f>
        <v>#REF!</v>
      </c>
    </row>
    <row r="100" spans="1:2" x14ac:dyDescent="0.2">
      <c r="A100" t="s">
        <v>625</v>
      </c>
      <c r="B100" s="7" t="e">
        <f>t2youth4</f>
        <v>#REF!</v>
      </c>
    </row>
    <row r="101" spans="1:2" x14ac:dyDescent="0.2">
      <c r="A101" t="s">
        <v>221</v>
      </c>
      <c r="B101" s="7" t="e">
        <f>t2youth5</f>
        <v>#REF!</v>
      </c>
    </row>
    <row r="102" spans="1:2" x14ac:dyDescent="0.2">
      <c r="A102" t="s">
        <v>222</v>
      </c>
      <c r="B102" s="7" t="e">
        <f>t2youth6</f>
        <v>#REF!</v>
      </c>
    </row>
    <row r="103" spans="1:2" x14ac:dyDescent="0.2">
      <c r="A103" t="s">
        <v>626</v>
      </c>
      <c r="B103" t="e">
        <f>Numecodet3</f>
        <v>#REF!</v>
      </c>
    </row>
    <row r="104" spans="1:2" x14ac:dyDescent="0.2">
      <c r="A104" t="s">
        <v>627</v>
      </c>
      <c r="B104" t="e">
        <f>Numealtt3</f>
        <v>#REF!</v>
      </c>
    </row>
    <row r="105" spans="1:2" x14ac:dyDescent="0.2">
      <c r="A105" t="s">
        <v>628</v>
      </c>
      <c r="B105" s="8" t="e">
        <f>t3yobgsal</f>
        <v>#REF!</v>
      </c>
    </row>
    <row r="106" spans="1:2" x14ac:dyDescent="0.2">
      <c r="A106" t="s">
        <v>629</v>
      </c>
      <c r="B106" s="8" t="e">
        <f>t3yobgserv</f>
        <v>#REF!</v>
      </c>
    </row>
    <row r="107" spans="1:2" x14ac:dyDescent="0.2">
      <c r="A107" t="s">
        <v>630</v>
      </c>
      <c r="B107" s="8" t="e">
        <f>t3yobgprof</f>
        <v>#REF!</v>
      </c>
    </row>
    <row r="108" spans="1:2" x14ac:dyDescent="0.2">
      <c r="A108" t="s">
        <v>631</v>
      </c>
      <c r="B108" s="8" t="e">
        <f>t3yobgcbo</f>
        <v>#REF!</v>
      </c>
    </row>
    <row r="109" spans="1:2" x14ac:dyDescent="0.2">
      <c r="A109" t="s">
        <v>632</v>
      </c>
      <c r="B109" s="8" t="e">
        <f>t3yobgequip</f>
        <v>#REF!</v>
      </c>
    </row>
    <row r="110" spans="1:2" x14ac:dyDescent="0.2">
      <c r="A110" t="s">
        <v>633</v>
      </c>
      <c r="B110" s="8" t="e">
        <f>t3yobgadmin</f>
        <v>#REF!</v>
      </c>
    </row>
    <row r="111" spans="1:2" x14ac:dyDescent="0.2">
      <c r="A111" t="s">
        <v>634</v>
      </c>
      <c r="B111" s="8" t="e">
        <f>t3yobgothr1</f>
        <v>#REF!</v>
      </c>
    </row>
    <row r="112" spans="1:2" x14ac:dyDescent="0.2">
      <c r="A112" t="s">
        <v>635</v>
      </c>
      <c r="B112" s="8" t="e">
        <f>t3yobgothr2</f>
        <v>#REF!</v>
      </c>
    </row>
    <row r="113" spans="1:2" x14ac:dyDescent="0.2">
      <c r="A113" t="s">
        <v>636</v>
      </c>
      <c r="B113" s="8" t="e">
        <f>t3yobgothr3</f>
        <v>#REF!</v>
      </c>
    </row>
    <row r="114" spans="1:2" x14ac:dyDescent="0.2">
      <c r="A114" t="s">
        <v>637</v>
      </c>
      <c r="B114" s="8" t="e">
        <f>t3yobgtot</f>
        <v>#REF!</v>
      </c>
    </row>
    <row r="115" spans="1:2" x14ac:dyDescent="0.2">
      <c r="A115" t="s">
        <v>638</v>
      </c>
      <c r="B115" s="8" t="e">
        <f>t3jjcpasal</f>
        <v>#REF!</v>
      </c>
    </row>
    <row r="116" spans="1:2" x14ac:dyDescent="0.2">
      <c r="A116" t="s">
        <v>639</v>
      </c>
      <c r="B116" s="8" t="e">
        <f>t3jjcpaserv</f>
        <v>#REF!</v>
      </c>
    </row>
    <row r="117" spans="1:2" x14ac:dyDescent="0.2">
      <c r="A117" t="s">
        <v>640</v>
      </c>
      <c r="B117" s="8" t="e">
        <f>t3jjcpaprof</f>
        <v>#REF!</v>
      </c>
    </row>
    <row r="118" spans="1:2" x14ac:dyDescent="0.2">
      <c r="A118" t="s">
        <v>641</v>
      </c>
      <c r="B118" s="8" t="e">
        <f>t3jjcpacbo</f>
        <v>#REF!</v>
      </c>
    </row>
    <row r="119" spans="1:2" x14ac:dyDescent="0.2">
      <c r="A119" t="s">
        <v>642</v>
      </c>
      <c r="B119" s="8" t="e">
        <f>t3jjcpaequip</f>
        <v>#REF!</v>
      </c>
    </row>
    <row r="120" spans="1:2" x14ac:dyDescent="0.2">
      <c r="A120" t="s">
        <v>643</v>
      </c>
      <c r="B120" s="8" t="e">
        <f>t3jjcpaadmin</f>
        <v>#REF!</v>
      </c>
    </row>
    <row r="121" spans="1:2" x14ac:dyDescent="0.2">
      <c r="A121" t="s">
        <v>644</v>
      </c>
      <c r="B121" s="8" t="e">
        <f>t3jjcpaothr1</f>
        <v>#REF!</v>
      </c>
    </row>
    <row r="122" spans="1:2" x14ac:dyDescent="0.2">
      <c r="A122" t="s">
        <v>645</v>
      </c>
      <c r="B122" s="8" t="e">
        <f>t3jjcpaothr2</f>
        <v>#REF!</v>
      </c>
    </row>
    <row r="123" spans="1:2" x14ac:dyDescent="0.2">
      <c r="A123" t="s">
        <v>646</v>
      </c>
      <c r="B123" s="8" t="e">
        <f>t3jjcpaothr3</f>
        <v>#REF!</v>
      </c>
    </row>
    <row r="124" spans="1:2" x14ac:dyDescent="0.2">
      <c r="A124" t="s">
        <v>647</v>
      </c>
      <c r="B124" s="8" t="e">
        <f>t3jjcpatot</f>
        <v>#REF!</v>
      </c>
    </row>
    <row r="125" spans="1:2" x14ac:dyDescent="0.2">
      <c r="A125" t="s">
        <v>648</v>
      </c>
      <c r="B125" s="8" t="e">
        <f>t3othersal</f>
        <v>#REF!</v>
      </c>
    </row>
    <row r="126" spans="1:2" x14ac:dyDescent="0.2">
      <c r="A126" t="s">
        <v>649</v>
      </c>
      <c r="B126" s="8" t="e">
        <f>t3otherserv</f>
        <v>#REF!</v>
      </c>
    </row>
    <row r="127" spans="1:2" x14ac:dyDescent="0.2">
      <c r="A127" t="s">
        <v>650</v>
      </c>
      <c r="B127" s="8" t="e">
        <f>t3otherprof</f>
        <v>#REF!</v>
      </c>
    </row>
    <row r="128" spans="1:2" x14ac:dyDescent="0.2">
      <c r="A128" t="s">
        <v>651</v>
      </c>
      <c r="B128" s="8" t="e">
        <f>t3othercbo</f>
        <v>#REF!</v>
      </c>
    </row>
    <row r="129" spans="1:2" x14ac:dyDescent="0.2">
      <c r="A129" t="s">
        <v>652</v>
      </c>
      <c r="B129" s="8" t="e">
        <f>t3otherequip</f>
        <v>#REF!</v>
      </c>
    </row>
    <row r="130" spans="1:2" x14ac:dyDescent="0.2">
      <c r="A130" t="s">
        <v>653</v>
      </c>
      <c r="B130" s="8" t="e">
        <f>t3otheradmin</f>
        <v>#REF!</v>
      </c>
    </row>
    <row r="131" spans="1:2" x14ac:dyDescent="0.2">
      <c r="A131" t="s">
        <v>654</v>
      </c>
      <c r="B131" s="8" t="e">
        <f>t3otherothr1</f>
        <v>#REF!</v>
      </c>
    </row>
    <row r="132" spans="1:2" x14ac:dyDescent="0.2">
      <c r="A132" t="s">
        <v>655</v>
      </c>
      <c r="B132" s="8" t="e">
        <f>t3otherothr2</f>
        <v>#REF!</v>
      </c>
    </row>
    <row r="133" spans="1:2" x14ac:dyDescent="0.2">
      <c r="A133" t="s">
        <v>656</v>
      </c>
      <c r="B133" s="8" t="e">
        <f>t3otherothr3</f>
        <v>#REF!</v>
      </c>
    </row>
    <row r="134" spans="1:2" x14ac:dyDescent="0.2">
      <c r="A134" t="s">
        <v>657</v>
      </c>
      <c r="B134" s="8" t="e">
        <f>t3othertot</f>
        <v>#REF!</v>
      </c>
    </row>
    <row r="135" spans="1:2" x14ac:dyDescent="0.2">
      <c r="A135" t="s">
        <v>658</v>
      </c>
      <c r="B135" s="7" t="e">
        <f>t3casecount</f>
        <v>#REF!</v>
      </c>
    </row>
    <row r="136" spans="1:2" x14ac:dyDescent="0.2">
      <c r="A136" t="s">
        <v>659</v>
      </c>
      <c r="B136" s="9" t="e">
        <f>t3yobgpercap</f>
        <v>#REF!</v>
      </c>
    </row>
    <row r="137" spans="1:2" x14ac:dyDescent="0.2">
      <c r="A137" t="s">
        <v>660</v>
      </c>
      <c r="B137" s="9" t="e">
        <f>t3totpercap</f>
        <v>#REF!</v>
      </c>
    </row>
    <row r="138" spans="1:2" x14ac:dyDescent="0.2">
      <c r="A138" t="s">
        <v>663</v>
      </c>
      <c r="B138" s="7" t="e">
        <f>t3youth1</f>
        <v>#REF!</v>
      </c>
    </row>
    <row r="139" spans="1:2" x14ac:dyDescent="0.2">
      <c r="A139" t="s">
        <v>664</v>
      </c>
      <c r="B139" s="7" t="e">
        <f>t3youth2</f>
        <v>#REF!</v>
      </c>
    </row>
    <row r="140" spans="1:2" x14ac:dyDescent="0.2">
      <c r="A140" t="s">
        <v>665</v>
      </c>
      <c r="B140" s="7" t="e">
        <f>t3youth3</f>
        <v>#REF!</v>
      </c>
    </row>
    <row r="141" spans="1:2" x14ac:dyDescent="0.2">
      <c r="A141" t="s">
        <v>666</v>
      </c>
      <c r="B141" s="7" t="e">
        <f>t3youth4</f>
        <v>#REF!</v>
      </c>
    </row>
    <row r="142" spans="1:2" x14ac:dyDescent="0.2">
      <c r="A142" t="s">
        <v>223</v>
      </c>
      <c r="B142" s="7" t="e">
        <f>t3youth5</f>
        <v>#REF!</v>
      </c>
    </row>
    <row r="143" spans="1:2" x14ac:dyDescent="0.2">
      <c r="A143" t="s">
        <v>224</v>
      </c>
      <c r="B143" s="7" t="e">
        <f>t3youth6</f>
        <v>#REF!</v>
      </c>
    </row>
    <row r="144" spans="1:2" x14ac:dyDescent="0.2">
      <c r="A144" t="s">
        <v>667</v>
      </c>
      <c r="B144" t="e">
        <f>Numecodet4</f>
        <v>#REF!</v>
      </c>
    </row>
    <row r="145" spans="1:2" x14ac:dyDescent="0.2">
      <c r="A145" t="s">
        <v>668</v>
      </c>
      <c r="B145" t="e">
        <f>Numealtt4</f>
        <v>#REF!</v>
      </c>
    </row>
    <row r="146" spans="1:2" x14ac:dyDescent="0.2">
      <c r="A146" t="s">
        <v>669</v>
      </c>
      <c r="B146" s="8" t="e">
        <f>t4yobgsal</f>
        <v>#REF!</v>
      </c>
    </row>
    <row r="147" spans="1:2" x14ac:dyDescent="0.2">
      <c r="A147" t="s">
        <v>670</v>
      </c>
      <c r="B147" s="8" t="e">
        <f>t4yobgserv</f>
        <v>#REF!</v>
      </c>
    </row>
    <row r="148" spans="1:2" x14ac:dyDescent="0.2">
      <c r="A148" t="s">
        <v>671</v>
      </c>
      <c r="B148" s="8" t="e">
        <f>t4yobgprof</f>
        <v>#REF!</v>
      </c>
    </row>
    <row r="149" spans="1:2" x14ac:dyDescent="0.2">
      <c r="A149" t="s">
        <v>672</v>
      </c>
      <c r="B149" s="8" t="e">
        <f>t4yobgcbo</f>
        <v>#REF!</v>
      </c>
    </row>
    <row r="150" spans="1:2" x14ac:dyDescent="0.2">
      <c r="A150" t="s">
        <v>673</v>
      </c>
      <c r="B150" s="8" t="e">
        <f>t4yobgequip</f>
        <v>#REF!</v>
      </c>
    </row>
    <row r="151" spans="1:2" x14ac:dyDescent="0.2">
      <c r="A151" t="s">
        <v>674</v>
      </c>
      <c r="B151" s="8" t="e">
        <f>t4yobgadmin</f>
        <v>#REF!</v>
      </c>
    </row>
    <row r="152" spans="1:2" x14ac:dyDescent="0.2">
      <c r="A152" t="s">
        <v>675</v>
      </c>
      <c r="B152" s="8" t="e">
        <f>t4yobgothr1</f>
        <v>#REF!</v>
      </c>
    </row>
    <row r="153" spans="1:2" x14ac:dyDescent="0.2">
      <c r="A153" t="s">
        <v>676</v>
      </c>
      <c r="B153" s="8" t="e">
        <f>t4yobgothr2</f>
        <v>#REF!</v>
      </c>
    </row>
    <row r="154" spans="1:2" x14ac:dyDescent="0.2">
      <c r="A154" t="s">
        <v>677</v>
      </c>
      <c r="B154" s="8" t="e">
        <f>t4yobgothr3</f>
        <v>#REF!</v>
      </c>
    </row>
    <row r="155" spans="1:2" x14ac:dyDescent="0.2">
      <c r="A155" t="s">
        <v>678</v>
      </c>
      <c r="B155" s="8" t="e">
        <f>t4yobgtot</f>
        <v>#REF!</v>
      </c>
    </row>
    <row r="156" spans="1:2" x14ac:dyDescent="0.2">
      <c r="A156" t="s">
        <v>679</v>
      </c>
      <c r="B156" s="8" t="e">
        <f>t4jjcpasal</f>
        <v>#REF!</v>
      </c>
    </row>
    <row r="157" spans="1:2" x14ac:dyDescent="0.2">
      <c r="A157" t="s">
        <v>680</v>
      </c>
      <c r="B157" s="8" t="e">
        <f>t4jjcpaserv</f>
        <v>#REF!</v>
      </c>
    </row>
    <row r="158" spans="1:2" x14ac:dyDescent="0.2">
      <c r="A158" t="s">
        <v>681</v>
      </c>
      <c r="B158" s="8" t="e">
        <f>t4jjcpaprof</f>
        <v>#REF!</v>
      </c>
    </row>
    <row r="159" spans="1:2" x14ac:dyDescent="0.2">
      <c r="A159" t="s">
        <v>682</v>
      </c>
      <c r="B159" s="8" t="e">
        <f>t4jjcpacbo</f>
        <v>#REF!</v>
      </c>
    </row>
    <row r="160" spans="1:2" x14ac:dyDescent="0.2">
      <c r="A160" t="s">
        <v>683</v>
      </c>
      <c r="B160" s="8" t="e">
        <f>t4jjcpaequip</f>
        <v>#REF!</v>
      </c>
    </row>
    <row r="161" spans="1:2" x14ac:dyDescent="0.2">
      <c r="A161" t="s">
        <v>684</v>
      </c>
      <c r="B161" s="8" t="e">
        <f>t4jjcpaadmin</f>
        <v>#REF!</v>
      </c>
    </row>
    <row r="162" spans="1:2" x14ac:dyDescent="0.2">
      <c r="A162" t="s">
        <v>685</v>
      </c>
      <c r="B162" s="8" t="e">
        <f>t4jjcpaothr1</f>
        <v>#REF!</v>
      </c>
    </row>
    <row r="163" spans="1:2" x14ac:dyDescent="0.2">
      <c r="A163" t="s">
        <v>686</v>
      </c>
      <c r="B163" s="8" t="e">
        <f>t4jjcpaothr2</f>
        <v>#REF!</v>
      </c>
    </row>
    <row r="164" spans="1:2" x14ac:dyDescent="0.2">
      <c r="A164" t="s">
        <v>687</v>
      </c>
      <c r="B164" s="8" t="e">
        <f>t4jjcpaothr3</f>
        <v>#REF!</v>
      </c>
    </row>
    <row r="165" spans="1:2" x14ac:dyDescent="0.2">
      <c r="A165" t="s">
        <v>688</v>
      </c>
      <c r="B165" s="8" t="e">
        <f>t4jjcpatot</f>
        <v>#REF!</v>
      </c>
    </row>
    <row r="166" spans="1:2" x14ac:dyDescent="0.2">
      <c r="A166" t="s">
        <v>689</v>
      </c>
      <c r="B166" s="8" t="e">
        <f>t4othersal</f>
        <v>#REF!</v>
      </c>
    </row>
    <row r="167" spans="1:2" x14ac:dyDescent="0.2">
      <c r="A167" t="s">
        <v>690</v>
      </c>
      <c r="B167" s="8" t="e">
        <f>t4otherserv</f>
        <v>#REF!</v>
      </c>
    </row>
    <row r="168" spans="1:2" x14ac:dyDescent="0.2">
      <c r="A168" t="s">
        <v>691</v>
      </c>
      <c r="B168" s="8" t="e">
        <f>t4otherprof</f>
        <v>#REF!</v>
      </c>
    </row>
    <row r="169" spans="1:2" x14ac:dyDescent="0.2">
      <c r="A169" t="s">
        <v>692</v>
      </c>
      <c r="B169" s="8" t="e">
        <f>t4othercbo</f>
        <v>#REF!</v>
      </c>
    </row>
    <row r="170" spans="1:2" x14ac:dyDescent="0.2">
      <c r="A170" t="s">
        <v>693</v>
      </c>
      <c r="B170" s="8" t="e">
        <f>t4otherequip</f>
        <v>#REF!</v>
      </c>
    </row>
    <row r="171" spans="1:2" x14ac:dyDescent="0.2">
      <c r="A171" t="s">
        <v>694</v>
      </c>
      <c r="B171" s="8" t="e">
        <f>t4otheradmin</f>
        <v>#REF!</v>
      </c>
    </row>
    <row r="172" spans="1:2" x14ac:dyDescent="0.2">
      <c r="A172" t="s">
        <v>695</v>
      </c>
      <c r="B172" s="8" t="e">
        <f>t4otherothr1</f>
        <v>#REF!</v>
      </c>
    </row>
    <row r="173" spans="1:2" x14ac:dyDescent="0.2">
      <c r="A173" t="s">
        <v>696</v>
      </c>
      <c r="B173" s="8" t="e">
        <f>t4otherothr2</f>
        <v>#REF!</v>
      </c>
    </row>
    <row r="174" spans="1:2" x14ac:dyDescent="0.2">
      <c r="A174" t="s">
        <v>697</v>
      </c>
      <c r="B174" s="8" t="e">
        <f>t4otherothr3</f>
        <v>#REF!</v>
      </c>
    </row>
    <row r="175" spans="1:2" x14ac:dyDescent="0.2">
      <c r="A175" t="s">
        <v>698</v>
      </c>
      <c r="B175" s="8" t="e">
        <f>t4othertot</f>
        <v>#REF!</v>
      </c>
    </row>
    <row r="176" spans="1:2" x14ac:dyDescent="0.2">
      <c r="A176" t="s">
        <v>699</v>
      </c>
      <c r="B176" s="7" t="e">
        <f>t4casecount</f>
        <v>#REF!</v>
      </c>
    </row>
    <row r="177" spans="1:2" x14ac:dyDescent="0.2">
      <c r="A177" t="s">
        <v>700</v>
      </c>
      <c r="B177" s="9" t="e">
        <f>t4yobgpercap</f>
        <v>#REF!</v>
      </c>
    </row>
    <row r="178" spans="1:2" x14ac:dyDescent="0.2">
      <c r="A178" t="s">
        <v>701</v>
      </c>
      <c r="B178" s="9" t="e">
        <f>t4totpercap</f>
        <v>#REF!</v>
      </c>
    </row>
    <row r="179" spans="1:2" x14ac:dyDescent="0.2">
      <c r="A179" t="s">
        <v>703</v>
      </c>
      <c r="B179" s="7" t="e">
        <f>t4youth1</f>
        <v>#REF!</v>
      </c>
    </row>
    <row r="180" spans="1:2" x14ac:dyDescent="0.2">
      <c r="A180" t="s">
        <v>704</v>
      </c>
      <c r="B180" s="7" t="e">
        <f>t4youth2</f>
        <v>#REF!</v>
      </c>
    </row>
    <row r="181" spans="1:2" x14ac:dyDescent="0.2">
      <c r="A181" t="s">
        <v>705</v>
      </c>
      <c r="B181" s="7" t="e">
        <f>t4youth3</f>
        <v>#REF!</v>
      </c>
    </row>
    <row r="182" spans="1:2" x14ac:dyDescent="0.2">
      <c r="A182" t="s">
        <v>706</v>
      </c>
      <c r="B182" s="7" t="e">
        <f>t4youth4</f>
        <v>#REF!</v>
      </c>
    </row>
    <row r="183" spans="1:2" x14ac:dyDescent="0.2">
      <c r="A183" t="s">
        <v>225</v>
      </c>
      <c r="B183" s="7" t="e">
        <f>t4youth5</f>
        <v>#REF!</v>
      </c>
    </row>
    <row r="184" spans="1:2" x14ac:dyDescent="0.2">
      <c r="A184" t="s">
        <v>226</v>
      </c>
      <c r="B184" s="7" t="e">
        <f>t4youth6</f>
        <v>#REF!</v>
      </c>
    </row>
    <row r="185" spans="1:2" x14ac:dyDescent="0.2">
      <c r="A185" t="s">
        <v>707</v>
      </c>
      <c r="B185" t="e">
        <f>Numecodet5</f>
        <v>#REF!</v>
      </c>
    </row>
    <row r="186" spans="1:2" x14ac:dyDescent="0.2">
      <c r="A186" t="s">
        <v>708</v>
      </c>
      <c r="B186" t="e">
        <f>Numealtt5</f>
        <v>#REF!</v>
      </c>
    </row>
    <row r="187" spans="1:2" x14ac:dyDescent="0.2">
      <c r="A187" t="s">
        <v>709</v>
      </c>
      <c r="B187" s="8" t="e">
        <f>t5yobgsal</f>
        <v>#REF!</v>
      </c>
    </row>
    <row r="188" spans="1:2" x14ac:dyDescent="0.2">
      <c r="A188" t="s">
        <v>710</v>
      </c>
      <c r="B188" s="8" t="e">
        <f>t5yobgserv</f>
        <v>#REF!</v>
      </c>
    </row>
    <row r="189" spans="1:2" x14ac:dyDescent="0.2">
      <c r="A189" t="s">
        <v>711</v>
      </c>
      <c r="B189" s="8" t="e">
        <f>t5yobgprof</f>
        <v>#REF!</v>
      </c>
    </row>
    <row r="190" spans="1:2" x14ac:dyDescent="0.2">
      <c r="A190" t="s">
        <v>712</v>
      </c>
      <c r="B190" s="8" t="e">
        <f>t5yobgcbo</f>
        <v>#REF!</v>
      </c>
    </row>
    <row r="191" spans="1:2" x14ac:dyDescent="0.2">
      <c r="A191" t="s">
        <v>713</v>
      </c>
      <c r="B191" s="8" t="e">
        <f>t5yobgequip</f>
        <v>#REF!</v>
      </c>
    </row>
    <row r="192" spans="1:2" x14ac:dyDescent="0.2">
      <c r="A192" t="s">
        <v>714</v>
      </c>
      <c r="B192" s="8" t="e">
        <f>t5yobgadmin</f>
        <v>#REF!</v>
      </c>
    </row>
    <row r="193" spans="1:2" x14ac:dyDescent="0.2">
      <c r="A193" t="s">
        <v>715</v>
      </c>
      <c r="B193" s="8" t="e">
        <f>t5yobgothr1</f>
        <v>#REF!</v>
      </c>
    </row>
    <row r="194" spans="1:2" x14ac:dyDescent="0.2">
      <c r="A194" t="s">
        <v>716</v>
      </c>
      <c r="B194" s="8" t="e">
        <f>t5yobgothr2</f>
        <v>#REF!</v>
      </c>
    </row>
    <row r="195" spans="1:2" x14ac:dyDescent="0.2">
      <c r="A195" t="s">
        <v>717</v>
      </c>
      <c r="B195" s="8" t="e">
        <f>t5yobgothr3</f>
        <v>#REF!</v>
      </c>
    </row>
    <row r="196" spans="1:2" x14ac:dyDescent="0.2">
      <c r="A196" t="s">
        <v>718</v>
      </c>
      <c r="B196" s="8" t="e">
        <f>t5yobgtot</f>
        <v>#REF!</v>
      </c>
    </row>
    <row r="197" spans="1:2" x14ac:dyDescent="0.2">
      <c r="A197" t="s">
        <v>719</v>
      </c>
      <c r="B197" s="8" t="e">
        <f>t5jjcpasal</f>
        <v>#REF!</v>
      </c>
    </row>
    <row r="198" spans="1:2" x14ac:dyDescent="0.2">
      <c r="A198" t="s">
        <v>720</v>
      </c>
      <c r="B198" s="8" t="e">
        <f>t5jjcpaserv</f>
        <v>#REF!</v>
      </c>
    </row>
    <row r="199" spans="1:2" x14ac:dyDescent="0.2">
      <c r="A199" t="s">
        <v>721</v>
      </c>
      <c r="B199" s="8" t="e">
        <f>t5jjcpaprof</f>
        <v>#REF!</v>
      </c>
    </row>
    <row r="200" spans="1:2" x14ac:dyDescent="0.2">
      <c r="A200" t="s">
        <v>722</v>
      </c>
      <c r="B200" s="8" t="e">
        <f>t5jjcpacbo</f>
        <v>#REF!</v>
      </c>
    </row>
    <row r="201" spans="1:2" x14ac:dyDescent="0.2">
      <c r="A201" t="s">
        <v>723</v>
      </c>
      <c r="B201" s="8" t="e">
        <f>t5jjcpaequip</f>
        <v>#REF!</v>
      </c>
    </row>
    <row r="202" spans="1:2" x14ac:dyDescent="0.2">
      <c r="A202" t="s">
        <v>724</v>
      </c>
      <c r="B202" s="8" t="e">
        <f>t5jjcpaadmin</f>
        <v>#REF!</v>
      </c>
    </row>
    <row r="203" spans="1:2" x14ac:dyDescent="0.2">
      <c r="A203" t="s">
        <v>725</v>
      </c>
      <c r="B203" s="8" t="e">
        <f>t5jjcpaothr1</f>
        <v>#REF!</v>
      </c>
    </row>
    <row r="204" spans="1:2" x14ac:dyDescent="0.2">
      <c r="A204" t="s">
        <v>726</v>
      </c>
      <c r="B204" s="8" t="e">
        <f>t5jjcpaothr2</f>
        <v>#REF!</v>
      </c>
    </row>
    <row r="205" spans="1:2" x14ac:dyDescent="0.2">
      <c r="A205" t="s">
        <v>727</v>
      </c>
      <c r="B205" s="8" t="e">
        <f>t5jjcpaothr3</f>
        <v>#REF!</v>
      </c>
    </row>
    <row r="206" spans="1:2" x14ac:dyDescent="0.2">
      <c r="A206" t="s">
        <v>728</v>
      </c>
      <c r="B206" s="8" t="e">
        <f>t5jjcpatot</f>
        <v>#REF!</v>
      </c>
    </row>
    <row r="207" spans="1:2" x14ac:dyDescent="0.2">
      <c r="A207" t="s">
        <v>729</v>
      </c>
      <c r="B207" s="8" t="e">
        <f>t5othersal</f>
        <v>#REF!</v>
      </c>
    </row>
    <row r="208" spans="1:2" x14ac:dyDescent="0.2">
      <c r="A208" t="s">
        <v>730</v>
      </c>
      <c r="B208" s="8" t="e">
        <f>t5otherserv</f>
        <v>#REF!</v>
      </c>
    </row>
    <row r="209" spans="1:2" x14ac:dyDescent="0.2">
      <c r="A209" t="s">
        <v>731</v>
      </c>
      <c r="B209" s="8" t="e">
        <f>t5otherprof</f>
        <v>#REF!</v>
      </c>
    </row>
    <row r="210" spans="1:2" x14ac:dyDescent="0.2">
      <c r="A210" t="s">
        <v>732</v>
      </c>
      <c r="B210" s="8" t="e">
        <f>t5othercbo</f>
        <v>#REF!</v>
      </c>
    </row>
    <row r="211" spans="1:2" x14ac:dyDescent="0.2">
      <c r="A211" t="s">
        <v>733</v>
      </c>
      <c r="B211" s="8" t="e">
        <f>t5otherequip</f>
        <v>#REF!</v>
      </c>
    </row>
    <row r="212" spans="1:2" x14ac:dyDescent="0.2">
      <c r="A212" t="s">
        <v>734</v>
      </c>
      <c r="B212" s="8" t="e">
        <f>t5otheradmin</f>
        <v>#REF!</v>
      </c>
    </row>
    <row r="213" spans="1:2" x14ac:dyDescent="0.2">
      <c r="A213" t="s">
        <v>735</v>
      </c>
      <c r="B213" s="8" t="e">
        <f>t5otherothr1</f>
        <v>#REF!</v>
      </c>
    </row>
    <row r="214" spans="1:2" x14ac:dyDescent="0.2">
      <c r="A214" t="s">
        <v>736</v>
      </c>
      <c r="B214" s="8" t="e">
        <f>t5otherothr2</f>
        <v>#REF!</v>
      </c>
    </row>
    <row r="215" spans="1:2" x14ac:dyDescent="0.2">
      <c r="A215" t="s">
        <v>737</v>
      </c>
      <c r="B215" s="8" t="e">
        <f>t5otherothr3</f>
        <v>#REF!</v>
      </c>
    </row>
    <row r="216" spans="1:2" x14ac:dyDescent="0.2">
      <c r="A216" t="s">
        <v>738</v>
      </c>
      <c r="B216" s="8" t="e">
        <f>t5othertot</f>
        <v>#REF!</v>
      </c>
    </row>
    <row r="217" spans="1:2" x14ac:dyDescent="0.2">
      <c r="A217" t="s">
        <v>739</v>
      </c>
      <c r="B217" s="7" t="e">
        <f>t5casecount</f>
        <v>#REF!</v>
      </c>
    </row>
    <row r="218" spans="1:2" x14ac:dyDescent="0.2">
      <c r="A218" t="s">
        <v>740</v>
      </c>
      <c r="B218" s="9" t="e">
        <f>t5yobgpercap</f>
        <v>#REF!</v>
      </c>
    </row>
    <row r="219" spans="1:2" x14ac:dyDescent="0.2">
      <c r="A219" t="s">
        <v>741</v>
      </c>
      <c r="B219" s="9" t="e">
        <f>t5totpercap</f>
        <v>#REF!</v>
      </c>
    </row>
    <row r="220" spans="1:2" x14ac:dyDescent="0.2">
      <c r="A220" t="s">
        <v>743</v>
      </c>
      <c r="B220" s="7" t="e">
        <f>t5youth1</f>
        <v>#REF!</v>
      </c>
    </row>
    <row r="221" spans="1:2" x14ac:dyDescent="0.2">
      <c r="A221" t="s">
        <v>744</v>
      </c>
      <c r="B221" s="7" t="e">
        <f>t5youth2</f>
        <v>#REF!</v>
      </c>
    </row>
    <row r="222" spans="1:2" x14ac:dyDescent="0.2">
      <c r="A222" t="s">
        <v>745</v>
      </c>
      <c r="B222" s="7" t="e">
        <f>t5youth3</f>
        <v>#REF!</v>
      </c>
    </row>
    <row r="223" spans="1:2" x14ac:dyDescent="0.2">
      <c r="A223" t="s">
        <v>746</v>
      </c>
      <c r="B223" s="7" t="e">
        <f>t5youth4</f>
        <v>#REF!</v>
      </c>
    </row>
    <row r="224" spans="1:2" x14ac:dyDescent="0.2">
      <c r="A224" t="s">
        <v>227</v>
      </c>
      <c r="B224" s="7" t="e">
        <f>t5youth5</f>
        <v>#REF!</v>
      </c>
    </row>
    <row r="225" spans="1:2" x14ac:dyDescent="0.2">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ColWidth="8.85546875" defaultRowHeight="12.75" x14ac:dyDescent="0.2"/>
  <cols>
    <col min="1" max="1" width="41.42578125" customWidth="1"/>
    <col min="2" max="2" width="43.85546875" customWidth="1"/>
  </cols>
  <sheetData>
    <row r="1" spans="1:2" x14ac:dyDescent="0.2">
      <c r="A1" t="s">
        <v>539</v>
      </c>
      <c r="B1" s="18" t="str">
        <f>County</f>
        <v>Los Angeles</v>
      </c>
    </row>
    <row r="2" spans="1:2" x14ac:dyDescent="0.2">
      <c r="A2" t="s">
        <v>747</v>
      </c>
      <c r="B2" t="e">
        <f>Numecodet6</f>
        <v>#REF!</v>
      </c>
    </row>
    <row r="3" spans="1:2" x14ac:dyDescent="0.2">
      <c r="A3" t="s">
        <v>748</v>
      </c>
      <c r="B3" t="e">
        <f>Numealtt6</f>
        <v>#REF!</v>
      </c>
    </row>
    <row r="4" spans="1:2" x14ac:dyDescent="0.2">
      <c r="A4" t="s">
        <v>749</v>
      </c>
      <c r="B4" s="8" t="e">
        <f>t6yobgsal</f>
        <v>#REF!</v>
      </c>
    </row>
    <row r="5" spans="1:2" x14ac:dyDescent="0.2">
      <c r="A5" t="s">
        <v>750</v>
      </c>
      <c r="B5" s="8" t="e">
        <f>t6yobgserv</f>
        <v>#REF!</v>
      </c>
    </row>
    <row r="6" spans="1:2" x14ac:dyDescent="0.2">
      <c r="A6" t="s">
        <v>0</v>
      </c>
      <c r="B6" s="8" t="e">
        <f>t6yobgprof</f>
        <v>#REF!</v>
      </c>
    </row>
    <row r="7" spans="1:2" x14ac:dyDescent="0.2">
      <c r="A7" t="s">
        <v>1</v>
      </c>
      <c r="B7" s="8" t="e">
        <f>t6yobgcbo</f>
        <v>#REF!</v>
      </c>
    </row>
    <row r="8" spans="1:2" x14ac:dyDescent="0.2">
      <c r="A8" t="s">
        <v>2</v>
      </c>
      <c r="B8" s="8" t="e">
        <f>t6yobgequip</f>
        <v>#REF!</v>
      </c>
    </row>
    <row r="9" spans="1:2" x14ac:dyDescent="0.2">
      <c r="A9" t="s">
        <v>3</v>
      </c>
      <c r="B9" s="8" t="e">
        <f>t6yobgadmin</f>
        <v>#REF!</v>
      </c>
    </row>
    <row r="10" spans="1:2" x14ac:dyDescent="0.2">
      <c r="A10" t="s">
        <v>4</v>
      </c>
      <c r="B10" s="8" t="e">
        <f>t6yobgothr1</f>
        <v>#REF!</v>
      </c>
    </row>
    <row r="11" spans="1:2" x14ac:dyDescent="0.2">
      <c r="A11" t="s">
        <v>5</v>
      </c>
      <c r="B11" s="8" t="e">
        <f>t6yobgothr2</f>
        <v>#REF!</v>
      </c>
    </row>
    <row r="12" spans="1:2" x14ac:dyDescent="0.2">
      <c r="A12" t="s">
        <v>6</v>
      </c>
      <c r="B12" s="8" t="e">
        <f>t6yobgothr3</f>
        <v>#REF!</v>
      </c>
    </row>
    <row r="13" spans="1:2" x14ac:dyDescent="0.2">
      <c r="A13" t="s">
        <v>7</v>
      </c>
      <c r="B13" s="8" t="e">
        <f>t6yobgtot</f>
        <v>#REF!</v>
      </c>
    </row>
    <row r="14" spans="1:2" x14ac:dyDescent="0.2">
      <c r="A14" t="s">
        <v>8</v>
      </c>
      <c r="B14" s="8" t="e">
        <f>t6jjcpasal</f>
        <v>#REF!</v>
      </c>
    </row>
    <row r="15" spans="1:2" x14ac:dyDescent="0.2">
      <c r="A15" t="s">
        <v>9</v>
      </c>
      <c r="B15" s="8" t="e">
        <f>t6jjcpaserv</f>
        <v>#REF!</v>
      </c>
    </row>
    <row r="16" spans="1:2" x14ac:dyDescent="0.2">
      <c r="A16" t="s">
        <v>10</v>
      </c>
      <c r="B16" s="8" t="e">
        <f>t6jjcpaprof</f>
        <v>#REF!</v>
      </c>
    </row>
    <row r="17" spans="1:2" x14ac:dyDescent="0.2">
      <c r="A17" t="s">
        <v>11</v>
      </c>
      <c r="B17" s="8" t="e">
        <f>t6jjcpacbo</f>
        <v>#REF!</v>
      </c>
    </row>
    <row r="18" spans="1:2" x14ac:dyDescent="0.2">
      <c r="A18" t="s">
        <v>12</v>
      </c>
      <c r="B18" s="8" t="e">
        <f>t6jjcpaequip</f>
        <v>#REF!</v>
      </c>
    </row>
    <row r="19" spans="1:2" x14ac:dyDescent="0.2">
      <c r="A19" t="s">
        <v>13</v>
      </c>
      <c r="B19" s="8" t="e">
        <f>t6jjcpaadmin</f>
        <v>#REF!</v>
      </c>
    </row>
    <row r="20" spans="1:2" x14ac:dyDescent="0.2">
      <c r="A20" t="s">
        <v>14</v>
      </c>
      <c r="B20" s="8" t="e">
        <f>t6jjcpaothr1</f>
        <v>#REF!</v>
      </c>
    </row>
    <row r="21" spans="1:2" x14ac:dyDescent="0.2">
      <c r="A21" t="s">
        <v>15</v>
      </c>
      <c r="B21" s="8" t="e">
        <f>t6jjcpaothr2</f>
        <v>#REF!</v>
      </c>
    </row>
    <row r="22" spans="1:2" x14ac:dyDescent="0.2">
      <c r="A22" t="s">
        <v>16</v>
      </c>
      <c r="B22" s="8" t="e">
        <f>t6jjcpaothr3</f>
        <v>#REF!</v>
      </c>
    </row>
    <row r="23" spans="1:2" x14ac:dyDescent="0.2">
      <c r="A23" t="s">
        <v>17</v>
      </c>
      <c r="B23" s="8" t="e">
        <f>t6jjcpatot</f>
        <v>#REF!</v>
      </c>
    </row>
    <row r="24" spans="1:2" x14ac:dyDescent="0.2">
      <c r="A24" t="s">
        <v>18</v>
      </c>
      <c r="B24" s="8" t="e">
        <f>t6othersal</f>
        <v>#REF!</v>
      </c>
    </row>
    <row r="25" spans="1:2" x14ac:dyDescent="0.2">
      <c r="A25" t="s">
        <v>19</v>
      </c>
      <c r="B25" s="8" t="e">
        <f>t6otherserv</f>
        <v>#REF!</v>
      </c>
    </row>
    <row r="26" spans="1:2" x14ac:dyDescent="0.2">
      <c r="A26" t="s">
        <v>20</v>
      </c>
      <c r="B26" s="8" t="e">
        <f>t6otherprof</f>
        <v>#REF!</v>
      </c>
    </row>
    <row r="27" spans="1:2" x14ac:dyDescent="0.2">
      <c r="A27" t="s">
        <v>21</v>
      </c>
      <c r="B27" s="8" t="e">
        <f>t6othercbo</f>
        <v>#REF!</v>
      </c>
    </row>
    <row r="28" spans="1:2" x14ac:dyDescent="0.2">
      <c r="A28" t="s">
        <v>22</v>
      </c>
      <c r="B28" s="8" t="e">
        <f>t6otherequip</f>
        <v>#REF!</v>
      </c>
    </row>
    <row r="29" spans="1:2" x14ac:dyDescent="0.2">
      <c r="A29" t="s">
        <v>23</v>
      </c>
      <c r="B29" s="8" t="e">
        <f>t6otheradmin</f>
        <v>#REF!</v>
      </c>
    </row>
    <row r="30" spans="1:2" x14ac:dyDescent="0.2">
      <c r="A30" t="s">
        <v>24</v>
      </c>
      <c r="B30" s="8" t="e">
        <f>t6otherothr1</f>
        <v>#REF!</v>
      </c>
    </row>
    <row r="31" spans="1:2" x14ac:dyDescent="0.2">
      <c r="A31" t="s">
        <v>25</v>
      </c>
      <c r="B31" s="8" t="e">
        <f>t6otherothr2</f>
        <v>#REF!</v>
      </c>
    </row>
    <row r="32" spans="1:2" x14ac:dyDescent="0.2">
      <c r="A32" t="s">
        <v>26</v>
      </c>
      <c r="B32" s="8" t="e">
        <f>t6otherothr3</f>
        <v>#REF!</v>
      </c>
    </row>
    <row r="33" spans="1:2" x14ac:dyDescent="0.2">
      <c r="A33" t="s">
        <v>27</v>
      </c>
      <c r="B33" s="8" t="e">
        <f>t6othertot</f>
        <v>#REF!</v>
      </c>
    </row>
    <row r="34" spans="1:2" x14ac:dyDescent="0.2">
      <c r="A34" t="s">
        <v>28</v>
      </c>
      <c r="B34" s="7" t="e">
        <f>t6casecount</f>
        <v>#REF!</v>
      </c>
    </row>
    <row r="35" spans="1:2" x14ac:dyDescent="0.2">
      <c r="A35" t="s">
        <v>29</v>
      </c>
      <c r="B35" s="9" t="e">
        <f>t6yobgpercap</f>
        <v>#REF!</v>
      </c>
    </row>
    <row r="36" spans="1:2" x14ac:dyDescent="0.2">
      <c r="A36" t="s">
        <v>30</v>
      </c>
      <c r="B36" s="9" t="e">
        <f>t6totpercap</f>
        <v>#REF!</v>
      </c>
    </row>
    <row r="37" spans="1:2" x14ac:dyDescent="0.2">
      <c r="A37" t="s">
        <v>32</v>
      </c>
      <c r="B37" s="7" t="e">
        <f>t6youth1</f>
        <v>#REF!</v>
      </c>
    </row>
    <row r="38" spans="1:2" x14ac:dyDescent="0.2">
      <c r="A38" t="s">
        <v>33</v>
      </c>
      <c r="B38" s="7" t="e">
        <f>t6youth2</f>
        <v>#REF!</v>
      </c>
    </row>
    <row r="39" spans="1:2" x14ac:dyDescent="0.2">
      <c r="A39" t="s">
        <v>34</v>
      </c>
      <c r="B39" s="7" t="e">
        <f>t6youth3</f>
        <v>#REF!</v>
      </c>
    </row>
    <row r="40" spans="1:2" x14ac:dyDescent="0.2">
      <c r="A40" t="s">
        <v>35</v>
      </c>
      <c r="B40" s="7" t="e">
        <f>t6youth4</f>
        <v>#REF!</v>
      </c>
    </row>
    <row r="41" spans="1:2" x14ac:dyDescent="0.2">
      <c r="A41" t="s">
        <v>229</v>
      </c>
      <c r="B41" s="7" t="e">
        <f>t6youth5</f>
        <v>#REF!</v>
      </c>
    </row>
    <row r="42" spans="1:2" x14ac:dyDescent="0.2">
      <c r="A42" t="s">
        <v>230</v>
      </c>
      <c r="B42" s="7" t="e">
        <f>t6youth6</f>
        <v>#REF!</v>
      </c>
    </row>
    <row r="43" spans="1:2" x14ac:dyDescent="0.2">
      <c r="A43" t="s">
        <v>36</v>
      </c>
      <c r="B43" t="e">
        <f>Numecodet7</f>
        <v>#REF!</v>
      </c>
    </row>
    <row r="44" spans="1:2" x14ac:dyDescent="0.2">
      <c r="A44" t="s">
        <v>37</v>
      </c>
      <c r="B44" t="e">
        <f>Numealtt7</f>
        <v>#REF!</v>
      </c>
    </row>
    <row r="45" spans="1:2" x14ac:dyDescent="0.2">
      <c r="A45" t="s">
        <v>38</v>
      </c>
      <c r="B45" s="8" t="e">
        <f>t7yobgsal</f>
        <v>#REF!</v>
      </c>
    </row>
    <row r="46" spans="1:2" x14ac:dyDescent="0.2">
      <c r="A46" t="s">
        <v>39</v>
      </c>
      <c r="B46" s="8" t="e">
        <f>t7yobgserv</f>
        <v>#REF!</v>
      </c>
    </row>
    <row r="47" spans="1:2" x14ac:dyDescent="0.2">
      <c r="A47" t="s">
        <v>40</v>
      </c>
      <c r="B47" s="8" t="e">
        <f>t7yobgprof</f>
        <v>#REF!</v>
      </c>
    </row>
    <row r="48" spans="1:2" x14ac:dyDescent="0.2">
      <c r="A48" t="s">
        <v>41</v>
      </c>
      <c r="B48" s="8" t="e">
        <f>t7yobgcbo</f>
        <v>#REF!</v>
      </c>
    </row>
    <row r="49" spans="1:2" x14ac:dyDescent="0.2">
      <c r="A49" t="s">
        <v>42</v>
      </c>
      <c r="B49" s="8" t="e">
        <f>t7yobgequip</f>
        <v>#REF!</v>
      </c>
    </row>
    <row r="50" spans="1:2" x14ac:dyDescent="0.2">
      <c r="A50" t="s">
        <v>43</v>
      </c>
      <c r="B50" s="8" t="e">
        <f>t7yobgadmin</f>
        <v>#REF!</v>
      </c>
    </row>
    <row r="51" spans="1:2" x14ac:dyDescent="0.2">
      <c r="A51" t="s">
        <v>44</v>
      </c>
      <c r="B51" s="8" t="e">
        <f>t7yobgothr1</f>
        <v>#REF!</v>
      </c>
    </row>
    <row r="52" spans="1:2" x14ac:dyDescent="0.2">
      <c r="A52" t="s">
        <v>45</v>
      </c>
      <c r="B52" s="8" t="e">
        <f>t7yobgothr2</f>
        <v>#REF!</v>
      </c>
    </row>
    <row r="53" spans="1:2" x14ac:dyDescent="0.2">
      <c r="A53" t="s">
        <v>46</v>
      </c>
      <c r="B53" s="8" t="e">
        <f>t7yobgothr3</f>
        <v>#REF!</v>
      </c>
    </row>
    <row r="54" spans="1:2" x14ac:dyDescent="0.2">
      <c r="A54" t="s">
        <v>47</v>
      </c>
      <c r="B54" s="8" t="e">
        <f>t7yobgtot</f>
        <v>#REF!</v>
      </c>
    </row>
    <row r="55" spans="1:2" x14ac:dyDescent="0.2">
      <c r="A55" t="s">
        <v>48</v>
      </c>
      <c r="B55" s="8" t="e">
        <f>t7jjcpasal</f>
        <v>#REF!</v>
      </c>
    </row>
    <row r="56" spans="1:2" x14ac:dyDescent="0.2">
      <c r="A56" t="s">
        <v>49</v>
      </c>
      <c r="B56" s="8" t="e">
        <f>t7jjcpaserv</f>
        <v>#REF!</v>
      </c>
    </row>
    <row r="57" spans="1:2" x14ac:dyDescent="0.2">
      <c r="A57" t="s">
        <v>50</v>
      </c>
      <c r="B57" s="8" t="e">
        <f>t7jjcpaprof</f>
        <v>#REF!</v>
      </c>
    </row>
    <row r="58" spans="1:2" x14ac:dyDescent="0.2">
      <c r="A58" t="s">
        <v>51</v>
      </c>
      <c r="B58" s="8" t="e">
        <f>t7jjcpacbo</f>
        <v>#REF!</v>
      </c>
    </row>
    <row r="59" spans="1:2" x14ac:dyDescent="0.2">
      <c r="A59" t="s">
        <v>52</v>
      </c>
      <c r="B59" s="8" t="e">
        <f>t7jjcpaequip</f>
        <v>#REF!</v>
      </c>
    </row>
    <row r="60" spans="1:2" x14ac:dyDescent="0.2">
      <c r="A60" t="s">
        <v>53</v>
      </c>
      <c r="B60" s="8" t="e">
        <f>t7jjcpaadmin</f>
        <v>#REF!</v>
      </c>
    </row>
    <row r="61" spans="1:2" x14ac:dyDescent="0.2">
      <c r="A61" t="s">
        <v>54</v>
      </c>
      <c r="B61" s="8" t="e">
        <f>t7jjcpaothr1</f>
        <v>#REF!</v>
      </c>
    </row>
    <row r="62" spans="1:2" x14ac:dyDescent="0.2">
      <c r="A62" t="s">
        <v>55</v>
      </c>
      <c r="B62" s="8" t="e">
        <f>t7jjcpaothr2</f>
        <v>#REF!</v>
      </c>
    </row>
    <row r="63" spans="1:2" x14ac:dyDescent="0.2">
      <c r="A63" t="s">
        <v>56</v>
      </c>
      <c r="B63" s="8" t="e">
        <f>t7jjcpaothr3</f>
        <v>#REF!</v>
      </c>
    </row>
    <row r="64" spans="1:2" x14ac:dyDescent="0.2">
      <c r="A64" t="s">
        <v>57</v>
      </c>
      <c r="B64" s="8" t="e">
        <f>t7jjcpatot</f>
        <v>#REF!</v>
      </c>
    </row>
    <row r="65" spans="1:2" x14ac:dyDescent="0.2">
      <c r="A65" t="s">
        <v>58</v>
      </c>
      <c r="B65" s="8" t="e">
        <f>t7othersal</f>
        <v>#REF!</v>
      </c>
    </row>
    <row r="66" spans="1:2" x14ac:dyDescent="0.2">
      <c r="A66" t="s">
        <v>59</v>
      </c>
      <c r="B66" s="8" t="e">
        <f>t7otherserv</f>
        <v>#REF!</v>
      </c>
    </row>
    <row r="67" spans="1:2" x14ac:dyDescent="0.2">
      <c r="A67" t="s">
        <v>60</v>
      </c>
      <c r="B67" s="8" t="e">
        <f>t7otherprof</f>
        <v>#REF!</v>
      </c>
    </row>
    <row r="68" spans="1:2" x14ac:dyDescent="0.2">
      <c r="A68" t="s">
        <v>61</v>
      </c>
      <c r="B68" s="8" t="e">
        <f>t7othercbo</f>
        <v>#REF!</v>
      </c>
    </row>
    <row r="69" spans="1:2" x14ac:dyDescent="0.2">
      <c r="A69" t="s">
        <v>62</v>
      </c>
      <c r="B69" s="8" t="e">
        <f>t7otherequip</f>
        <v>#REF!</v>
      </c>
    </row>
    <row r="70" spans="1:2" x14ac:dyDescent="0.2">
      <c r="A70" t="s">
        <v>63</v>
      </c>
      <c r="B70" s="8" t="e">
        <f>t7otheradmin</f>
        <v>#REF!</v>
      </c>
    </row>
    <row r="71" spans="1:2" x14ac:dyDescent="0.2">
      <c r="A71" t="s">
        <v>64</v>
      </c>
      <c r="B71" s="8" t="e">
        <f>t7otherothr1</f>
        <v>#REF!</v>
      </c>
    </row>
    <row r="72" spans="1:2" x14ac:dyDescent="0.2">
      <c r="A72" t="s">
        <v>65</v>
      </c>
      <c r="B72" s="8" t="e">
        <f>t7otherothr2</f>
        <v>#REF!</v>
      </c>
    </row>
    <row r="73" spans="1:2" x14ac:dyDescent="0.2">
      <c r="A73" t="s">
        <v>66</v>
      </c>
      <c r="B73" s="8" t="e">
        <f>t7otherothr3</f>
        <v>#REF!</v>
      </c>
    </row>
    <row r="74" spans="1:2" x14ac:dyDescent="0.2">
      <c r="A74" t="s">
        <v>67</v>
      </c>
      <c r="B74" s="8" t="e">
        <f>t7othertot</f>
        <v>#REF!</v>
      </c>
    </row>
    <row r="75" spans="1:2" x14ac:dyDescent="0.2">
      <c r="A75" t="s">
        <v>68</v>
      </c>
      <c r="B75" s="7" t="e">
        <f>t7casecount</f>
        <v>#REF!</v>
      </c>
    </row>
    <row r="76" spans="1:2" x14ac:dyDescent="0.2">
      <c r="A76" t="s">
        <v>69</v>
      </c>
      <c r="B76" s="9" t="e">
        <f>t7yobgpercap</f>
        <v>#REF!</v>
      </c>
    </row>
    <row r="77" spans="1:2" x14ac:dyDescent="0.2">
      <c r="A77" t="s">
        <v>70</v>
      </c>
      <c r="B77" s="9" t="e">
        <f>t7totpercap</f>
        <v>#REF!</v>
      </c>
    </row>
    <row r="78" spans="1:2" x14ac:dyDescent="0.2">
      <c r="A78" t="s">
        <v>72</v>
      </c>
      <c r="B78" s="7" t="e">
        <f>t7youth1</f>
        <v>#REF!</v>
      </c>
    </row>
    <row r="79" spans="1:2" x14ac:dyDescent="0.2">
      <c r="A79" t="s">
        <v>73</v>
      </c>
      <c r="B79" s="7" t="e">
        <f>t7youth2</f>
        <v>#REF!</v>
      </c>
    </row>
    <row r="80" spans="1:2" x14ac:dyDescent="0.2">
      <c r="A80" t="s">
        <v>74</v>
      </c>
      <c r="B80" s="7" t="e">
        <f>t7youth3</f>
        <v>#REF!</v>
      </c>
    </row>
    <row r="81" spans="1:2" x14ac:dyDescent="0.2">
      <c r="A81" t="s">
        <v>75</v>
      </c>
      <c r="B81" s="7" t="e">
        <f>t7youth4</f>
        <v>#REF!</v>
      </c>
    </row>
    <row r="82" spans="1:2" x14ac:dyDescent="0.2">
      <c r="A82" t="s">
        <v>231</v>
      </c>
      <c r="B82" s="7" t="e">
        <f>t7youth5</f>
        <v>#REF!</v>
      </c>
    </row>
    <row r="83" spans="1:2" x14ac:dyDescent="0.2">
      <c r="A83" t="s">
        <v>232</v>
      </c>
      <c r="B83" s="7" t="e">
        <f>t7youth6</f>
        <v>#REF!</v>
      </c>
    </row>
    <row r="84" spans="1:2" x14ac:dyDescent="0.2">
      <c r="A84" t="s">
        <v>76</v>
      </c>
      <c r="B84" t="e">
        <f>Numecodet8</f>
        <v>#REF!</v>
      </c>
    </row>
    <row r="85" spans="1:2" x14ac:dyDescent="0.2">
      <c r="A85" t="s">
        <v>77</v>
      </c>
      <c r="B85" t="e">
        <f>Numealtt8</f>
        <v>#REF!</v>
      </c>
    </row>
    <row r="86" spans="1:2" x14ac:dyDescent="0.2">
      <c r="A86" t="s">
        <v>78</v>
      </c>
      <c r="B86" s="8" t="e">
        <f>t8yobgsal</f>
        <v>#REF!</v>
      </c>
    </row>
    <row r="87" spans="1:2" x14ac:dyDescent="0.2">
      <c r="A87" t="s">
        <v>79</v>
      </c>
      <c r="B87" s="8" t="e">
        <f>t8yobgserv</f>
        <v>#REF!</v>
      </c>
    </row>
    <row r="88" spans="1:2" x14ac:dyDescent="0.2">
      <c r="A88" t="s">
        <v>80</v>
      </c>
      <c r="B88" s="8" t="e">
        <f>t8yobgprof</f>
        <v>#REF!</v>
      </c>
    </row>
    <row r="89" spans="1:2" x14ac:dyDescent="0.2">
      <c r="A89" t="s">
        <v>81</v>
      </c>
      <c r="B89" s="8" t="e">
        <f>t8yobgcbo</f>
        <v>#REF!</v>
      </c>
    </row>
    <row r="90" spans="1:2" x14ac:dyDescent="0.2">
      <c r="A90" t="s">
        <v>82</v>
      </c>
      <c r="B90" s="8" t="e">
        <f>t8yobgequip</f>
        <v>#REF!</v>
      </c>
    </row>
    <row r="91" spans="1:2" x14ac:dyDescent="0.2">
      <c r="A91" t="s">
        <v>83</v>
      </c>
      <c r="B91" s="8" t="e">
        <f>t8yobgadmin</f>
        <v>#REF!</v>
      </c>
    </row>
    <row r="92" spans="1:2" x14ac:dyDescent="0.2">
      <c r="A92" t="s">
        <v>84</v>
      </c>
      <c r="B92" s="8" t="e">
        <f>t8yobgothr1</f>
        <v>#REF!</v>
      </c>
    </row>
    <row r="93" spans="1:2" x14ac:dyDescent="0.2">
      <c r="A93" t="s">
        <v>85</v>
      </c>
      <c r="B93" s="8" t="e">
        <f>t8yobgothr2</f>
        <v>#REF!</v>
      </c>
    </row>
    <row r="94" spans="1:2" x14ac:dyDescent="0.2">
      <c r="A94" t="s">
        <v>86</v>
      </c>
      <c r="B94" s="8" t="e">
        <f>t8yobgothr3</f>
        <v>#REF!</v>
      </c>
    </row>
    <row r="95" spans="1:2" x14ac:dyDescent="0.2">
      <c r="A95" t="s">
        <v>87</v>
      </c>
      <c r="B95" s="8" t="e">
        <f>t8yobgtot</f>
        <v>#REF!</v>
      </c>
    </row>
    <row r="96" spans="1:2" x14ac:dyDescent="0.2">
      <c r="A96" t="s">
        <v>88</v>
      </c>
      <c r="B96" s="8" t="e">
        <f>t8jjcpasal</f>
        <v>#REF!</v>
      </c>
    </row>
    <row r="97" spans="1:2" x14ac:dyDescent="0.2">
      <c r="A97" t="s">
        <v>89</v>
      </c>
      <c r="B97" s="8" t="e">
        <f>t8jjcpaserv</f>
        <v>#REF!</v>
      </c>
    </row>
    <row r="98" spans="1:2" x14ac:dyDescent="0.2">
      <c r="A98" t="s">
        <v>90</v>
      </c>
      <c r="B98" s="8" t="e">
        <f>t8jjcpaprof</f>
        <v>#REF!</v>
      </c>
    </row>
    <row r="99" spans="1:2" x14ac:dyDescent="0.2">
      <c r="A99" t="s">
        <v>91</v>
      </c>
      <c r="B99" s="8" t="e">
        <f>t8jjcpacbo</f>
        <v>#REF!</v>
      </c>
    </row>
    <row r="100" spans="1:2" x14ac:dyDescent="0.2">
      <c r="A100" t="s">
        <v>92</v>
      </c>
      <c r="B100" s="8" t="e">
        <f>t8jjcpaequip</f>
        <v>#REF!</v>
      </c>
    </row>
    <row r="101" spans="1:2" x14ac:dyDescent="0.2">
      <c r="A101" t="s">
        <v>93</v>
      </c>
      <c r="B101" s="8" t="e">
        <f>t8jjcpaadmin</f>
        <v>#REF!</v>
      </c>
    </row>
    <row r="102" spans="1:2" x14ac:dyDescent="0.2">
      <c r="A102" t="s">
        <v>94</v>
      </c>
      <c r="B102" s="8" t="e">
        <f>t8jjcpaothr1</f>
        <v>#REF!</v>
      </c>
    </row>
    <row r="103" spans="1:2" x14ac:dyDescent="0.2">
      <c r="A103" t="s">
        <v>95</v>
      </c>
      <c r="B103" s="8" t="e">
        <f>t8jjcpaothr2</f>
        <v>#REF!</v>
      </c>
    </row>
    <row r="104" spans="1:2" x14ac:dyDescent="0.2">
      <c r="A104" t="s">
        <v>96</v>
      </c>
      <c r="B104" s="8" t="e">
        <f>t8jjcpaothr3</f>
        <v>#REF!</v>
      </c>
    </row>
    <row r="105" spans="1:2" x14ac:dyDescent="0.2">
      <c r="A105" t="s">
        <v>97</v>
      </c>
      <c r="B105" s="8" t="e">
        <f>t8jjcpatot</f>
        <v>#REF!</v>
      </c>
    </row>
    <row r="106" spans="1:2" x14ac:dyDescent="0.2">
      <c r="A106" t="s">
        <v>98</v>
      </c>
      <c r="B106" s="8" t="e">
        <f>t8othersal</f>
        <v>#REF!</v>
      </c>
    </row>
    <row r="107" spans="1:2" x14ac:dyDescent="0.2">
      <c r="A107" t="s">
        <v>99</v>
      </c>
      <c r="B107" s="8" t="e">
        <f>t8otherserv</f>
        <v>#REF!</v>
      </c>
    </row>
    <row r="108" spans="1:2" x14ac:dyDescent="0.2">
      <c r="A108" t="s">
        <v>100</v>
      </c>
      <c r="B108" s="8" t="e">
        <f>t8otherprof</f>
        <v>#REF!</v>
      </c>
    </row>
    <row r="109" spans="1:2" x14ac:dyDescent="0.2">
      <c r="A109" t="s">
        <v>101</v>
      </c>
      <c r="B109" s="8" t="e">
        <f>t8othercbo</f>
        <v>#REF!</v>
      </c>
    </row>
    <row r="110" spans="1:2" x14ac:dyDescent="0.2">
      <c r="A110" t="s">
        <v>102</v>
      </c>
      <c r="B110" s="8" t="e">
        <f>t8otherequip</f>
        <v>#REF!</v>
      </c>
    </row>
    <row r="111" spans="1:2" x14ac:dyDescent="0.2">
      <c r="A111" t="s">
        <v>103</v>
      </c>
      <c r="B111" s="8" t="e">
        <f>t8otheradmin</f>
        <v>#REF!</v>
      </c>
    </row>
    <row r="112" spans="1:2" x14ac:dyDescent="0.2">
      <c r="A112" t="s">
        <v>104</v>
      </c>
      <c r="B112" s="8" t="e">
        <f>t8otherothr1</f>
        <v>#REF!</v>
      </c>
    </row>
    <row r="113" spans="1:2" x14ac:dyDescent="0.2">
      <c r="A113" t="s">
        <v>105</v>
      </c>
      <c r="B113" s="8" t="e">
        <f>t8otherothr2</f>
        <v>#REF!</v>
      </c>
    </row>
    <row r="114" spans="1:2" x14ac:dyDescent="0.2">
      <c r="A114" t="s">
        <v>106</v>
      </c>
      <c r="B114" s="8" t="e">
        <f>t8otherothr3</f>
        <v>#REF!</v>
      </c>
    </row>
    <row r="115" spans="1:2" x14ac:dyDescent="0.2">
      <c r="A115" t="s">
        <v>107</v>
      </c>
      <c r="B115" s="8" t="e">
        <f>t8othertot</f>
        <v>#REF!</v>
      </c>
    </row>
    <row r="116" spans="1:2" x14ac:dyDescent="0.2">
      <c r="A116" t="s">
        <v>108</v>
      </c>
      <c r="B116" s="7" t="e">
        <f>t8casecount</f>
        <v>#REF!</v>
      </c>
    </row>
    <row r="117" spans="1:2" x14ac:dyDescent="0.2">
      <c r="A117" t="s">
        <v>109</v>
      </c>
      <c r="B117" s="9" t="e">
        <f>t8yobgpercap</f>
        <v>#REF!</v>
      </c>
    </row>
    <row r="118" spans="1:2" x14ac:dyDescent="0.2">
      <c r="A118" t="s">
        <v>110</v>
      </c>
      <c r="B118" s="9" t="e">
        <f>t8totpercap</f>
        <v>#REF!</v>
      </c>
    </row>
    <row r="119" spans="1:2" x14ac:dyDescent="0.2">
      <c r="A119" t="s">
        <v>111</v>
      </c>
      <c r="B119" s="7" t="e">
        <f>t8youth1</f>
        <v>#REF!</v>
      </c>
    </row>
    <row r="120" spans="1:2" x14ac:dyDescent="0.2">
      <c r="A120" t="s">
        <v>112</v>
      </c>
      <c r="B120" s="7" t="e">
        <f>t8youth2</f>
        <v>#REF!</v>
      </c>
    </row>
    <row r="121" spans="1:2" x14ac:dyDescent="0.2">
      <c r="A121" t="s">
        <v>113</v>
      </c>
      <c r="B121" s="7" t="e">
        <f>t8youth3</f>
        <v>#REF!</v>
      </c>
    </row>
    <row r="122" spans="1:2" x14ac:dyDescent="0.2">
      <c r="A122" t="s">
        <v>114</v>
      </c>
      <c r="B122" s="7" t="e">
        <f>t8youth4</f>
        <v>#REF!</v>
      </c>
    </row>
    <row r="123" spans="1:2" x14ac:dyDescent="0.2">
      <c r="A123" t="s">
        <v>233</v>
      </c>
      <c r="B123" s="7" t="e">
        <f>t8youth5</f>
        <v>#REF!</v>
      </c>
    </row>
    <row r="124" spans="1:2" x14ac:dyDescent="0.2">
      <c r="A124" t="s">
        <v>234</v>
      </c>
      <c r="B124" s="7" t="e">
        <f>t8youth6</f>
        <v>#REF!</v>
      </c>
    </row>
    <row r="125" spans="1:2" x14ac:dyDescent="0.2">
      <c r="A125" t="s">
        <v>115</v>
      </c>
      <c r="B125" t="e">
        <f>Numecodet9</f>
        <v>#REF!</v>
      </c>
    </row>
    <row r="126" spans="1:2" x14ac:dyDescent="0.2">
      <c r="A126" t="s">
        <v>117</v>
      </c>
      <c r="B126" t="e">
        <f>Numealtt9</f>
        <v>#REF!</v>
      </c>
    </row>
    <row r="127" spans="1:2" x14ac:dyDescent="0.2">
      <c r="A127" t="s">
        <v>118</v>
      </c>
      <c r="B127" s="8" t="e">
        <f>t9yobgsal</f>
        <v>#REF!</v>
      </c>
    </row>
    <row r="128" spans="1:2" x14ac:dyDescent="0.2">
      <c r="A128" t="s">
        <v>119</v>
      </c>
      <c r="B128" s="8" t="e">
        <f>t9yobgserv</f>
        <v>#REF!</v>
      </c>
    </row>
    <row r="129" spans="1:2" x14ac:dyDescent="0.2">
      <c r="A129" t="s">
        <v>120</v>
      </c>
      <c r="B129" s="8" t="e">
        <f>t9yobgprof</f>
        <v>#REF!</v>
      </c>
    </row>
    <row r="130" spans="1:2" x14ac:dyDescent="0.2">
      <c r="A130" t="s">
        <v>121</v>
      </c>
      <c r="B130" s="8" t="e">
        <f>t9yobgcbo</f>
        <v>#REF!</v>
      </c>
    </row>
    <row r="131" spans="1:2" x14ac:dyDescent="0.2">
      <c r="A131" t="s">
        <v>122</v>
      </c>
      <c r="B131" s="8" t="e">
        <f>t9yobgequip</f>
        <v>#REF!</v>
      </c>
    </row>
    <row r="132" spans="1:2" x14ac:dyDescent="0.2">
      <c r="A132" t="s">
        <v>123</v>
      </c>
      <c r="B132" s="8" t="e">
        <f>t9yobgadmin</f>
        <v>#REF!</v>
      </c>
    </row>
    <row r="133" spans="1:2" x14ac:dyDescent="0.2">
      <c r="A133" t="s">
        <v>124</v>
      </c>
      <c r="B133" s="8" t="e">
        <f>t9yobgothr1</f>
        <v>#REF!</v>
      </c>
    </row>
    <row r="134" spans="1:2" x14ac:dyDescent="0.2">
      <c r="A134" t="s">
        <v>125</v>
      </c>
      <c r="B134" s="8" t="e">
        <f>t9yobgothr2</f>
        <v>#REF!</v>
      </c>
    </row>
    <row r="135" spans="1:2" x14ac:dyDescent="0.2">
      <c r="A135" t="s">
        <v>126</v>
      </c>
      <c r="B135" s="8" t="e">
        <f>t9yobgothr3</f>
        <v>#REF!</v>
      </c>
    </row>
    <row r="136" spans="1:2" x14ac:dyDescent="0.2">
      <c r="A136" t="s">
        <v>127</v>
      </c>
      <c r="B136" s="8" t="e">
        <f>t9yobgtot</f>
        <v>#REF!</v>
      </c>
    </row>
    <row r="137" spans="1:2" x14ac:dyDescent="0.2">
      <c r="A137" t="s">
        <v>128</v>
      </c>
      <c r="B137" s="8" t="e">
        <f>t9jjcpasal</f>
        <v>#REF!</v>
      </c>
    </row>
    <row r="138" spans="1:2" x14ac:dyDescent="0.2">
      <c r="A138" t="s">
        <v>129</v>
      </c>
      <c r="B138" s="8" t="e">
        <f>t9jjcpaserv</f>
        <v>#REF!</v>
      </c>
    </row>
    <row r="139" spans="1:2" x14ac:dyDescent="0.2">
      <c r="A139" t="s">
        <v>130</v>
      </c>
      <c r="B139" s="8" t="e">
        <f>t9jjcpaprof</f>
        <v>#REF!</v>
      </c>
    </row>
    <row r="140" spans="1:2" x14ac:dyDescent="0.2">
      <c r="A140" t="s">
        <v>131</v>
      </c>
      <c r="B140" s="8" t="e">
        <f>t9jjcpacbo</f>
        <v>#REF!</v>
      </c>
    </row>
    <row r="141" spans="1:2" x14ac:dyDescent="0.2">
      <c r="A141" t="s">
        <v>132</v>
      </c>
      <c r="B141" s="8" t="e">
        <f>t9jjcpaequip</f>
        <v>#REF!</v>
      </c>
    </row>
    <row r="142" spans="1:2" x14ac:dyDescent="0.2">
      <c r="A142" t="s">
        <v>133</v>
      </c>
      <c r="B142" s="8" t="e">
        <f>t9jjcpaadmin</f>
        <v>#REF!</v>
      </c>
    </row>
    <row r="143" spans="1:2" x14ac:dyDescent="0.2">
      <c r="A143" t="s">
        <v>134</v>
      </c>
      <c r="B143" s="8" t="e">
        <f>t9jjcpaothr1</f>
        <v>#REF!</v>
      </c>
    </row>
    <row r="144" spans="1:2" x14ac:dyDescent="0.2">
      <c r="A144" t="s">
        <v>135</v>
      </c>
      <c r="B144" s="8" t="e">
        <f>t9jjcpaothr2</f>
        <v>#REF!</v>
      </c>
    </row>
    <row r="145" spans="1:2" x14ac:dyDescent="0.2">
      <c r="A145" t="s">
        <v>136</v>
      </c>
      <c r="B145" s="8" t="e">
        <f>t9jjcpaothr3</f>
        <v>#REF!</v>
      </c>
    </row>
    <row r="146" spans="1:2" x14ac:dyDescent="0.2">
      <c r="A146" t="s">
        <v>137</v>
      </c>
      <c r="B146" s="8" t="e">
        <f>t9jjcpatot</f>
        <v>#REF!</v>
      </c>
    </row>
    <row r="147" spans="1:2" x14ac:dyDescent="0.2">
      <c r="A147" t="s">
        <v>138</v>
      </c>
      <c r="B147" s="8" t="e">
        <f>t9othersal</f>
        <v>#REF!</v>
      </c>
    </row>
    <row r="148" spans="1:2" x14ac:dyDescent="0.2">
      <c r="A148" t="s">
        <v>139</v>
      </c>
      <c r="B148" s="8" t="e">
        <f>t9otherserv</f>
        <v>#REF!</v>
      </c>
    </row>
    <row r="149" spans="1:2" x14ac:dyDescent="0.2">
      <c r="A149" t="s">
        <v>140</v>
      </c>
      <c r="B149" s="8" t="e">
        <f>t9otherprof</f>
        <v>#REF!</v>
      </c>
    </row>
    <row r="150" spans="1:2" x14ac:dyDescent="0.2">
      <c r="A150" t="s">
        <v>141</v>
      </c>
      <c r="B150" s="8" t="e">
        <f>t9othercbo</f>
        <v>#REF!</v>
      </c>
    </row>
    <row r="151" spans="1:2" x14ac:dyDescent="0.2">
      <c r="A151" t="s">
        <v>142</v>
      </c>
      <c r="B151" s="8" t="e">
        <f>t9otherequip</f>
        <v>#REF!</v>
      </c>
    </row>
    <row r="152" spans="1:2" x14ac:dyDescent="0.2">
      <c r="A152" t="s">
        <v>143</v>
      </c>
      <c r="B152" s="8" t="e">
        <f>t9otheradmin</f>
        <v>#REF!</v>
      </c>
    </row>
    <row r="153" spans="1:2" x14ac:dyDescent="0.2">
      <c r="A153" t="s">
        <v>144</v>
      </c>
      <c r="B153" s="8" t="e">
        <f>t9otherothr1</f>
        <v>#REF!</v>
      </c>
    </row>
    <row r="154" spans="1:2" x14ac:dyDescent="0.2">
      <c r="A154" t="s">
        <v>145</v>
      </c>
      <c r="B154" s="8" t="e">
        <f>t9otherothr2</f>
        <v>#REF!</v>
      </c>
    </row>
    <row r="155" spans="1:2" x14ac:dyDescent="0.2">
      <c r="A155" t="s">
        <v>146</v>
      </c>
      <c r="B155" s="8" t="e">
        <f>t9otherothr3</f>
        <v>#REF!</v>
      </c>
    </row>
    <row r="156" spans="1:2" x14ac:dyDescent="0.2">
      <c r="A156" t="s">
        <v>147</v>
      </c>
      <c r="B156" s="8" t="e">
        <f>t9othertot</f>
        <v>#REF!</v>
      </c>
    </row>
    <row r="157" spans="1:2" x14ac:dyDescent="0.2">
      <c r="A157" t="s">
        <v>148</v>
      </c>
      <c r="B157" s="7" t="e">
        <f>t9casecount</f>
        <v>#REF!</v>
      </c>
    </row>
    <row r="158" spans="1:2" x14ac:dyDescent="0.2">
      <c r="A158" t="s">
        <v>149</v>
      </c>
      <c r="B158" s="9" t="e">
        <f>t9yobgpercap</f>
        <v>#REF!</v>
      </c>
    </row>
    <row r="159" spans="1:2" x14ac:dyDescent="0.2">
      <c r="A159" t="s">
        <v>150</v>
      </c>
      <c r="B159" s="9" t="e">
        <f>t9totpercap</f>
        <v>#REF!</v>
      </c>
    </row>
    <row r="160" spans="1:2" x14ac:dyDescent="0.2">
      <c r="A160" t="s">
        <v>153</v>
      </c>
      <c r="B160" s="7" t="e">
        <f>t9youth1</f>
        <v>#REF!</v>
      </c>
    </row>
    <row r="161" spans="1:2" x14ac:dyDescent="0.2">
      <c r="A161" t="s">
        <v>154</v>
      </c>
      <c r="B161" s="7" t="e">
        <f>t9youth2</f>
        <v>#REF!</v>
      </c>
    </row>
    <row r="162" spans="1:2" x14ac:dyDescent="0.2">
      <c r="A162" t="s">
        <v>155</v>
      </c>
      <c r="B162" s="7" t="e">
        <f>t9youth3</f>
        <v>#REF!</v>
      </c>
    </row>
    <row r="163" spans="1:2" x14ac:dyDescent="0.2">
      <c r="A163" t="s">
        <v>156</v>
      </c>
      <c r="B163" s="7" t="e">
        <f>t9youth4</f>
        <v>#REF!</v>
      </c>
    </row>
    <row r="164" spans="1:2" x14ac:dyDescent="0.2">
      <c r="A164" t="s">
        <v>235</v>
      </c>
      <c r="B164" s="7" t="e">
        <f>t9youth5</f>
        <v>#REF!</v>
      </c>
    </row>
    <row r="165" spans="1:2" x14ac:dyDescent="0.2">
      <c r="A165" t="s">
        <v>236</v>
      </c>
      <c r="B165" s="7" t="e">
        <f>t9youth6</f>
        <v>#REF!</v>
      </c>
    </row>
    <row r="166" spans="1:2" x14ac:dyDescent="0.2">
      <c r="A166" t="s">
        <v>158</v>
      </c>
      <c r="B166" t="e">
        <f>Numecodet10</f>
        <v>#REF!</v>
      </c>
    </row>
    <row r="167" spans="1:2" x14ac:dyDescent="0.2">
      <c r="A167" t="s">
        <v>189</v>
      </c>
      <c r="B167" t="e">
        <f>Numealtt10</f>
        <v>#REF!</v>
      </c>
    </row>
    <row r="168" spans="1:2" x14ac:dyDescent="0.2">
      <c r="A168" t="s">
        <v>328</v>
      </c>
      <c r="B168" s="8" t="e">
        <f>t10yobgsal</f>
        <v>#REF!</v>
      </c>
    </row>
    <row r="169" spans="1:2" x14ac:dyDescent="0.2">
      <c r="A169" t="s">
        <v>329</v>
      </c>
      <c r="B169" s="8" t="e">
        <f>t10yobgserv</f>
        <v>#REF!</v>
      </c>
    </row>
    <row r="170" spans="1:2" x14ac:dyDescent="0.2">
      <c r="A170" t="s">
        <v>330</v>
      </c>
      <c r="B170" s="8" t="e">
        <f>t10yobgprof</f>
        <v>#REF!</v>
      </c>
    </row>
    <row r="171" spans="1:2" x14ac:dyDescent="0.2">
      <c r="A171" t="s">
        <v>331</v>
      </c>
      <c r="B171" s="8" t="e">
        <f>t10yobgcbo</f>
        <v>#REF!</v>
      </c>
    </row>
    <row r="172" spans="1:2" x14ac:dyDescent="0.2">
      <c r="A172" t="s">
        <v>332</v>
      </c>
      <c r="B172" s="8" t="e">
        <f>t10yobgequip</f>
        <v>#REF!</v>
      </c>
    </row>
    <row r="173" spans="1:2" x14ac:dyDescent="0.2">
      <c r="A173" t="s">
        <v>333</v>
      </c>
      <c r="B173" s="8" t="e">
        <f>t10yobgadmin</f>
        <v>#REF!</v>
      </c>
    </row>
    <row r="174" spans="1:2" x14ac:dyDescent="0.2">
      <c r="A174" t="s">
        <v>334</v>
      </c>
      <c r="B174" s="8" t="e">
        <f>t10yobgothr1</f>
        <v>#REF!</v>
      </c>
    </row>
    <row r="175" spans="1:2" x14ac:dyDescent="0.2">
      <c r="A175" t="s">
        <v>335</v>
      </c>
      <c r="B175" s="8" t="e">
        <f>t10yobgothr2</f>
        <v>#REF!</v>
      </c>
    </row>
    <row r="176" spans="1:2" x14ac:dyDescent="0.2">
      <c r="A176" t="s">
        <v>336</v>
      </c>
      <c r="B176" s="8" t="e">
        <f>t10yobgothr3</f>
        <v>#REF!</v>
      </c>
    </row>
    <row r="177" spans="1:2" x14ac:dyDescent="0.2">
      <c r="A177" t="s">
        <v>337</v>
      </c>
      <c r="B177" s="8" t="e">
        <f>t10yobgtot</f>
        <v>#REF!</v>
      </c>
    </row>
    <row r="178" spans="1:2" x14ac:dyDescent="0.2">
      <c r="A178" t="s">
        <v>338</v>
      </c>
      <c r="B178" s="8" t="e">
        <f>t10jjcpasal</f>
        <v>#REF!</v>
      </c>
    </row>
    <row r="179" spans="1:2" x14ac:dyDescent="0.2">
      <c r="A179" t="s">
        <v>339</v>
      </c>
      <c r="B179" s="8" t="e">
        <f>t10jjcpaserv</f>
        <v>#REF!</v>
      </c>
    </row>
    <row r="180" spans="1:2" x14ac:dyDescent="0.2">
      <c r="A180" t="s">
        <v>340</v>
      </c>
      <c r="B180" s="8" t="e">
        <f>t10jjcpaprof</f>
        <v>#REF!</v>
      </c>
    </row>
    <row r="181" spans="1:2" x14ac:dyDescent="0.2">
      <c r="A181" t="s">
        <v>341</v>
      </c>
      <c r="B181" s="8" t="e">
        <f>t10jjcpacbo</f>
        <v>#REF!</v>
      </c>
    </row>
    <row r="182" spans="1:2" x14ac:dyDescent="0.2">
      <c r="A182" t="s">
        <v>342</v>
      </c>
      <c r="B182" s="8" t="e">
        <f>t10jjcpaequip</f>
        <v>#REF!</v>
      </c>
    </row>
    <row r="183" spans="1:2" x14ac:dyDescent="0.2">
      <c r="A183" t="s">
        <v>343</v>
      </c>
      <c r="B183" s="8" t="e">
        <f>t10jjcpaadmin</f>
        <v>#REF!</v>
      </c>
    </row>
    <row r="184" spans="1:2" x14ac:dyDescent="0.2">
      <c r="A184" t="s">
        <v>344</v>
      </c>
      <c r="B184" s="8" t="e">
        <f>t10jjcpaothr1</f>
        <v>#REF!</v>
      </c>
    </row>
    <row r="185" spans="1:2" x14ac:dyDescent="0.2">
      <c r="A185" t="s">
        <v>345</v>
      </c>
      <c r="B185" s="8" t="e">
        <f>t10jjcpaothr2</f>
        <v>#REF!</v>
      </c>
    </row>
    <row r="186" spans="1:2" x14ac:dyDescent="0.2">
      <c r="A186" t="s">
        <v>346</v>
      </c>
      <c r="B186" s="8" t="e">
        <f>t10jjcpaothr3</f>
        <v>#REF!</v>
      </c>
    </row>
    <row r="187" spans="1:2" x14ac:dyDescent="0.2">
      <c r="A187" t="s">
        <v>347</v>
      </c>
      <c r="B187" s="8" t="e">
        <f>t10jjcpatot</f>
        <v>#REF!</v>
      </c>
    </row>
    <row r="188" spans="1:2" x14ac:dyDescent="0.2">
      <c r="A188" t="s">
        <v>348</v>
      </c>
      <c r="B188" s="8" t="e">
        <f>t10othersal</f>
        <v>#REF!</v>
      </c>
    </row>
    <row r="189" spans="1:2" x14ac:dyDescent="0.2">
      <c r="A189" t="s">
        <v>349</v>
      </c>
      <c r="B189" s="8" t="e">
        <f>t10otherserv</f>
        <v>#REF!</v>
      </c>
    </row>
    <row r="190" spans="1:2" x14ac:dyDescent="0.2">
      <c r="A190" t="s">
        <v>350</v>
      </c>
      <c r="B190" s="8" t="e">
        <f>t10otherprof</f>
        <v>#REF!</v>
      </c>
    </row>
    <row r="191" spans="1:2" x14ac:dyDescent="0.2">
      <c r="A191" t="s">
        <v>351</v>
      </c>
      <c r="B191" s="8" t="e">
        <f>t10othercbo</f>
        <v>#REF!</v>
      </c>
    </row>
    <row r="192" spans="1:2" x14ac:dyDescent="0.2">
      <c r="A192" t="s">
        <v>352</v>
      </c>
      <c r="B192" s="8" t="e">
        <f>t10otherequip</f>
        <v>#REF!</v>
      </c>
    </row>
    <row r="193" spans="1:2" x14ac:dyDescent="0.2">
      <c r="A193" t="s">
        <v>353</v>
      </c>
      <c r="B193" s="8" t="e">
        <f>t10otheradmin</f>
        <v>#REF!</v>
      </c>
    </row>
    <row r="194" spans="1:2" x14ac:dyDescent="0.2">
      <c r="A194" t="s">
        <v>354</v>
      </c>
      <c r="B194" s="8" t="e">
        <f>t10otherothr1</f>
        <v>#REF!</v>
      </c>
    </row>
    <row r="195" spans="1:2" x14ac:dyDescent="0.2">
      <c r="A195" t="s">
        <v>355</v>
      </c>
      <c r="B195" s="8" t="e">
        <f>t10otherothr2</f>
        <v>#REF!</v>
      </c>
    </row>
    <row r="196" spans="1:2" x14ac:dyDescent="0.2">
      <c r="A196" t="s">
        <v>356</v>
      </c>
      <c r="B196" s="8" t="e">
        <f>t10otherothr3</f>
        <v>#REF!</v>
      </c>
    </row>
    <row r="197" spans="1:2" x14ac:dyDescent="0.2">
      <c r="A197" t="s">
        <v>357</v>
      </c>
      <c r="B197" s="8" t="e">
        <f>t10othertot</f>
        <v>#REF!</v>
      </c>
    </row>
    <row r="198" spans="1:2" x14ac:dyDescent="0.2">
      <c r="A198" t="s">
        <v>358</v>
      </c>
      <c r="B198" s="7" t="e">
        <f>t10casecount</f>
        <v>#REF!</v>
      </c>
    </row>
    <row r="199" spans="1:2" x14ac:dyDescent="0.2">
      <c r="A199" t="s">
        <v>157</v>
      </c>
      <c r="B199" s="9" t="e">
        <f>t10yobgpercap</f>
        <v>#REF!</v>
      </c>
    </row>
    <row r="200" spans="1:2" x14ac:dyDescent="0.2">
      <c r="A200" t="s">
        <v>359</v>
      </c>
      <c r="B200" s="9" t="e">
        <f>t10totpercap</f>
        <v>#REF!</v>
      </c>
    </row>
    <row r="201" spans="1:2" x14ac:dyDescent="0.2">
      <c r="A201" t="s">
        <v>361</v>
      </c>
      <c r="B201" s="7" t="e">
        <f>t10youth1</f>
        <v>#REF!</v>
      </c>
    </row>
    <row r="202" spans="1:2" x14ac:dyDescent="0.2">
      <c r="A202" t="s">
        <v>362</v>
      </c>
      <c r="B202" s="7" t="e">
        <f>t10youth2</f>
        <v>#REF!</v>
      </c>
    </row>
    <row r="203" spans="1:2" x14ac:dyDescent="0.2">
      <c r="A203" t="s">
        <v>363</v>
      </c>
      <c r="B203" s="7" t="e">
        <f>t10youth3</f>
        <v>#REF!</v>
      </c>
    </row>
    <row r="204" spans="1:2" x14ac:dyDescent="0.2">
      <c r="A204" t="s">
        <v>364</v>
      </c>
      <c r="B204" s="7" t="e">
        <f>t10youth4</f>
        <v>#REF!</v>
      </c>
    </row>
    <row r="205" spans="1:2" x14ac:dyDescent="0.2">
      <c r="A205" t="s">
        <v>237</v>
      </c>
      <c r="B205" s="7" t="e">
        <f>t10youth5</f>
        <v>#REF!</v>
      </c>
    </row>
    <row r="206" spans="1:2" x14ac:dyDescent="0.2">
      <c r="A206" t="s">
        <v>238</v>
      </c>
      <c r="B206" s="7" t="e">
        <f>t10youth6</f>
        <v>#REF!</v>
      </c>
    </row>
    <row r="207" spans="1:2" x14ac:dyDescent="0.2">
      <c r="A207" t="s">
        <v>239</v>
      </c>
      <c r="B207" s="7">
        <f>asi</f>
        <v>0</v>
      </c>
    </row>
    <row r="208" spans="1:2" x14ac:dyDescent="0.2">
      <c r="A208" t="s">
        <v>370</v>
      </c>
      <c r="B208" s="7">
        <f>bot</f>
        <v>0</v>
      </c>
    </row>
    <row r="209" spans="1:2" x14ac:dyDescent="0.2">
      <c r="A209" t="s">
        <v>240</v>
      </c>
      <c r="B209" s="7">
        <f>COMPAS</f>
        <v>0</v>
      </c>
    </row>
    <row r="210" spans="1:2" x14ac:dyDescent="0.2">
      <c r="A210" t="s">
        <v>241</v>
      </c>
      <c r="B210" s="7">
        <f>JAIS</f>
        <v>0</v>
      </c>
    </row>
    <row r="211" spans="1:2" x14ac:dyDescent="0.2">
      <c r="A211" t="s">
        <v>242</v>
      </c>
      <c r="B211" s="7">
        <f>LSIR</f>
        <v>0</v>
      </c>
    </row>
    <row r="212" spans="1:2" x14ac:dyDescent="0.2">
      <c r="A212" t="s">
        <v>243</v>
      </c>
      <c r="B212" s="7">
        <f>MAYSI2</f>
        <v>0</v>
      </c>
    </row>
    <row r="213" spans="1:2" x14ac:dyDescent="0.2">
      <c r="A213" t="s">
        <v>244</v>
      </c>
      <c r="B213" s="7">
        <f>MAYSI</f>
        <v>0</v>
      </c>
    </row>
    <row r="214" spans="1:2" x14ac:dyDescent="0.2">
      <c r="A214" t="s">
        <v>245</v>
      </c>
      <c r="B214" s="7">
        <f>NIC</f>
        <v>0</v>
      </c>
    </row>
    <row r="215" spans="1:2" x14ac:dyDescent="0.2">
      <c r="A215" t="s">
        <v>246</v>
      </c>
      <c r="B215" s="7">
        <f>PACT</f>
        <v>0</v>
      </c>
    </row>
    <row r="216" spans="1:2" x14ac:dyDescent="0.2">
      <c r="A216" t="s">
        <v>247</v>
      </c>
      <c r="B216" s="7">
        <f>RRC</f>
        <v>0</v>
      </c>
    </row>
    <row r="217" spans="1:2" x14ac:dyDescent="0.2">
      <c r="A217" t="s">
        <v>248</v>
      </c>
      <c r="B217" s="7">
        <f>YLSCMI</f>
        <v>0</v>
      </c>
    </row>
    <row r="218" spans="1:2" x14ac:dyDescent="0.2">
      <c r="A218" t="s">
        <v>249</v>
      </c>
      <c r="B218" s="7">
        <f>othrassessmentname1</f>
        <v>0</v>
      </c>
    </row>
    <row r="219" spans="1:2" x14ac:dyDescent="0.2">
      <c r="A219" t="s">
        <v>253</v>
      </c>
      <c r="B219" s="7">
        <f>othrassess1</f>
        <v>0</v>
      </c>
    </row>
    <row r="220" spans="1:2" x14ac:dyDescent="0.2">
      <c r="A220" t="s">
        <v>251</v>
      </c>
      <c r="B220" s="7">
        <f>othrassessmentname2</f>
        <v>0</v>
      </c>
    </row>
    <row r="221" spans="1:2" x14ac:dyDescent="0.2">
      <c r="A221" t="s">
        <v>254</v>
      </c>
      <c r="B221" s="7">
        <f>othrassess2</f>
        <v>0</v>
      </c>
    </row>
    <row r="222" spans="1:2" x14ac:dyDescent="0.2">
      <c r="A222" t="s">
        <v>252</v>
      </c>
      <c r="B222" s="7">
        <f>othrassessmentname3</f>
        <v>0</v>
      </c>
    </row>
    <row r="223" spans="1:2" x14ac:dyDescent="0.2">
      <c r="A223" t="s">
        <v>255</v>
      </c>
      <c r="B223" s="7">
        <f>othrassess3</f>
        <v>0</v>
      </c>
    </row>
    <row r="224" spans="1:2" x14ac:dyDescent="0.2">
      <c r="A224" t="s">
        <v>211</v>
      </c>
      <c r="B224" s="7">
        <f>othrassessmentname4</f>
        <v>0</v>
      </c>
    </row>
    <row r="225" spans="1:2" x14ac:dyDescent="0.2">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ColWidth="8.85546875" defaultRowHeight="12.75" x14ac:dyDescent="0.2"/>
  <cols>
    <col min="1" max="1" width="37.85546875" customWidth="1"/>
    <col min="2" max="2" width="41.42578125" customWidth="1"/>
  </cols>
  <sheetData>
    <row r="1" spans="1:2" x14ac:dyDescent="0.2">
      <c r="A1" t="s">
        <v>539</v>
      </c>
      <c r="B1" s="18" t="str">
        <f>County</f>
        <v>Los Angeles</v>
      </c>
    </row>
    <row r="2" spans="1:2" x14ac:dyDescent="0.2">
      <c r="A2" t="s">
        <v>261</v>
      </c>
      <c r="B2" s="7">
        <f>coord1</f>
        <v>0</v>
      </c>
    </row>
    <row r="3" spans="1:2" x14ac:dyDescent="0.2">
      <c r="A3" t="s">
        <v>260</v>
      </c>
      <c r="B3" s="7">
        <f>coord2</f>
        <v>0</v>
      </c>
    </row>
    <row r="4" spans="1:2" x14ac:dyDescent="0.2">
      <c r="A4" t="s">
        <v>256</v>
      </c>
      <c r="B4" s="7">
        <f>strategy</f>
        <v>0</v>
      </c>
    </row>
    <row r="5" spans="1:2" x14ac:dyDescent="0.2">
      <c r="A5" t="s">
        <v>257</v>
      </c>
      <c r="B5" s="7">
        <f>stratnar</f>
        <v>0</v>
      </c>
    </row>
    <row r="6" spans="1:2" x14ac:dyDescent="0.2">
      <c r="A6" t="s">
        <v>258</v>
      </c>
      <c r="B6" s="7">
        <f>stratdf</f>
        <v>0</v>
      </c>
    </row>
    <row r="7" spans="1:2" x14ac:dyDescent="0.2">
      <c r="A7" t="s">
        <v>259</v>
      </c>
      <c r="B7" s="7">
        <f>stratplan</f>
        <v>0</v>
      </c>
    </row>
    <row r="8" spans="1:2" x14ac:dyDescent="0.2">
      <c r="A8" t="s">
        <v>263</v>
      </c>
      <c r="B8" s="7">
        <f>coordnar</f>
        <v>0</v>
      </c>
    </row>
    <row r="9" spans="1:2" x14ac:dyDescent="0.2">
      <c r="A9" t="s">
        <v>262</v>
      </c>
      <c r="B9">
        <f>regional</f>
        <v>0</v>
      </c>
    </row>
    <row r="10" spans="1:2" x14ac:dyDescent="0.2">
      <c r="A10" t="s">
        <v>585</v>
      </c>
      <c r="B10" t="e">
        <f>Numecodet1</f>
        <v>#REF!</v>
      </c>
    </row>
    <row r="11" spans="1:2" x14ac:dyDescent="0.2">
      <c r="A11" t="s">
        <v>586</v>
      </c>
      <c r="B11" t="e">
        <f>Numealtt1</f>
        <v>#REF!</v>
      </c>
    </row>
    <row r="12" spans="1:2" x14ac:dyDescent="0.2">
      <c r="A12" t="s">
        <v>301</v>
      </c>
      <c r="B12" t="e">
        <f>JJCPAt1</f>
        <v>#REF!</v>
      </c>
    </row>
    <row r="13" spans="1:2" x14ac:dyDescent="0.2">
      <c r="A13" t="s">
        <v>302</v>
      </c>
      <c r="B13" t="e">
        <f>Othert1</f>
        <v>#REF!</v>
      </c>
    </row>
    <row r="14" spans="1:2" x14ac:dyDescent="0.2">
      <c r="A14" t="s">
        <v>574</v>
      </c>
      <c r="B14" s="7" t="e">
        <f>t1casecount</f>
        <v>#REF!</v>
      </c>
    </row>
    <row r="15" spans="1:2" x14ac:dyDescent="0.2">
      <c r="A15" t="s">
        <v>575</v>
      </c>
      <c r="B15" s="9" t="e">
        <f>t1yobgpercap</f>
        <v>#REF!</v>
      </c>
    </row>
    <row r="16" spans="1:2" x14ac:dyDescent="0.2">
      <c r="A16" t="s">
        <v>576</v>
      </c>
      <c r="B16" s="9"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t="e">
        <f>Numecodet2</f>
        <v>#REF!</v>
      </c>
    </row>
    <row r="25" spans="1:2" x14ac:dyDescent="0.2">
      <c r="A25" t="s">
        <v>588</v>
      </c>
      <c r="B25" t="e">
        <f>Numealtt2</f>
        <v>#REF!</v>
      </c>
    </row>
    <row r="26" spans="1:2" x14ac:dyDescent="0.2">
      <c r="A26" t="s">
        <v>303</v>
      </c>
      <c r="B26" t="e">
        <f>JJCPAt2</f>
        <v>#REF!</v>
      </c>
    </row>
    <row r="27" spans="1:2" x14ac:dyDescent="0.2">
      <c r="A27" t="s">
        <v>304</v>
      </c>
      <c r="B27" t="e">
        <f>Othert2</f>
        <v>#REF!</v>
      </c>
    </row>
    <row r="28" spans="1:2" x14ac:dyDescent="0.2">
      <c r="A28" t="s">
        <v>619</v>
      </c>
      <c r="B28" s="7" t="e">
        <f>t2casecount</f>
        <v>#REF!</v>
      </c>
    </row>
    <row r="29" spans="1:2" x14ac:dyDescent="0.2">
      <c r="A29" t="s">
        <v>620</v>
      </c>
      <c r="B29" s="9" t="e">
        <f>t2yobgpercap</f>
        <v>#REF!</v>
      </c>
    </row>
    <row r="30" spans="1:2" x14ac:dyDescent="0.2">
      <c r="A30" t="s">
        <v>621</v>
      </c>
      <c r="B30" s="9"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t="e">
        <f>Numecodet3</f>
        <v>#REF!</v>
      </c>
    </row>
    <row r="39" spans="1:2" x14ac:dyDescent="0.2">
      <c r="A39" t="s">
        <v>627</v>
      </c>
      <c r="B39" t="e">
        <f>Numealtt3</f>
        <v>#REF!</v>
      </c>
    </row>
    <row r="40" spans="1:2" x14ac:dyDescent="0.2">
      <c r="A40" t="s">
        <v>305</v>
      </c>
      <c r="B40" t="e">
        <f>JJCPAt3</f>
        <v>#REF!</v>
      </c>
    </row>
    <row r="41" spans="1:2" x14ac:dyDescent="0.2">
      <c r="A41" t="s">
        <v>306</v>
      </c>
      <c r="B41" t="e">
        <f>Othert3</f>
        <v>#REF!</v>
      </c>
    </row>
    <row r="42" spans="1:2" x14ac:dyDescent="0.2">
      <c r="A42" t="s">
        <v>658</v>
      </c>
      <c r="B42" s="7" t="e">
        <f>t3casecount</f>
        <v>#REF!</v>
      </c>
    </row>
    <row r="43" spans="1:2" x14ac:dyDescent="0.2">
      <c r="A43" t="s">
        <v>659</v>
      </c>
      <c r="B43" s="9" t="e">
        <f>t3yobgpercap</f>
        <v>#REF!</v>
      </c>
    </row>
    <row r="44" spans="1:2" x14ac:dyDescent="0.2">
      <c r="A44" t="s">
        <v>660</v>
      </c>
      <c r="B44" s="9"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t="e">
        <f>Numecodet4</f>
        <v>#REF!</v>
      </c>
    </row>
    <row r="53" spans="1:2" x14ac:dyDescent="0.2">
      <c r="A53" t="s">
        <v>668</v>
      </c>
      <c r="B53" t="e">
        <f>Numealtt4</f>
        <v>#REF!</v>
      </c>
    </row>
    <row r="54" spans="1:2" x14ac:dyDescent="0.2">
      <c r="A54" t="s">
        <v>307</v>
      </c>
      <c r="B54" t="e">
        <f>JJCPAt4</f>
        <v>#REF!</v>
      </c>
    </row>
    <row r="55" spans="1:2" x14ac:dyDescent="0.2">
      <c r="A55" t="s">
        <v>308</v>
      </c>
      <c r="B55" t="e">
        <f>Othert4</f>
        <v>#REF!</v>
      </c>
    </row>
    <row r="56" spans="1:2" x14ac:dyDescent="0.2">
      <c r="A56" t="s">
        <v>699</v>
      </c>
      <c r="B56" s="7" t="e">
        <f>t4casecount</f>
        <v>#REF!</v>
      </c>
    </row>
    <row r="57" spans="1:2" x14ac:dyDescent="0.2">
      <c r="A57" t="s">
        <v>700</v>
      </c>
      <c r="B57" s="9" t="e">
        <f>t4yobgpercap</f>
        <v>#REF!</v>
      </c>
    </row>
    <row r="58" spans="1:2" x14ac:dyDescent="0.2">
      <c r="A58" t="s">
        <v>701</v>
      </c>
      <c r="B58" s="9"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t="e">
        <f>Numecodet5</f>
        <v>#REF!</v>
      </c>
    </row>
    <row r="67" spans="1:2" x14ac:dyDescent="0.2">
      <c r="A67" t="s">
        <v>708</v>
      </c>
      <c r="B67" t="e">
        <f>Numealtt5</f>
        <v>#REF!</v>
      </c>
    </row>
    <row r="68" spans="1:2" x14ac:dyDescent="0.2">
      <c r="A68" t="s">
        <v>309</v>
      </c>
      <c r="B68" t="e">
        <f>JJCPAt5</f>
        <v>#REF!</v>
      </c>
    </row>
    <row r="69" spans="1:2" x14ac:dyDescent="0.2">
      <c r="A69" t="s">
        <v>310</v>
      </c>
      <c r="B69" t="e">
        <f>Othert5</f>
        <v>#REF!</v>
      </c>
    </row>
    <row r="70" spans="1:2" x14ac:dyDescent="0.2">
      <c r="A70" t="s">
        <v>739</v>
      </c>
      <c r="B70" s="7" t="e">
        <f>t5casecount</f>
        <v>#REF!</v>
      </c>
    </row>
    <row r="71" spans="1:2" x14ac:dyDescent="0.2">
      <c r="A71" t="s">
        <v>740</v>
      </c>
      <c r="B71" s="9" t="e">
        <f>t5yobgpercap</f>
        <v>#REF!</v>
      </c>
    </row>
    <row r="72" spans="1:2" x14ac:dyDescent="0.2">
      <c r="A72" t="s">
        <v>741</v>
      </c>
      <c r="B72" s="9"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t="e">
        <f>Numecodet6</f>
        <v>#REF!</v>
      </c>
    </row>
    <row r="81" spans="1:2" x14ac:dyDescent="0.2">
      <c r="A81" t="s">
        <v>748</v>
      </c>
      <c r="B81" t="e">
        <f>Numealtt6</f>
        <v>#REF!</v>
      </c>
    </row>
    <row r="82" spans="1:2" x14ac:dyDescent="0.2">
      <c r="A82" t="s">
        <v>311</v>
      </c>
      <c r="B82" t="e">
        <f>JJCPAt6</f>
        <v>#REF!</v>
      </c>
    </row>
    <row r="83" spans="1:2" x14ac:dyDescent="0.2">
      <c r="A83" t="s">
        <v>312</v>
      </c>
      <c r="B83" t="e">
        <f>Othert6</f>
        <v>#REF!</v>
      </c>
    </row>
    <row r="84" spans="1:2" x14ac:dyDescent="0.2">
      <c r="A84" t="s">
        <v>28</v>
      </c>
      <c r="B84" s="7" t="e">
        <f>t6casecount</f>
        <v>#REF!</v>
      </c>
    </row>
    <row r="85" spans="1:2" x14ac:dyDescent="0.2">
      <c r="A85" t="s">
        <v>29</v>
      </c>
      <c r="B85" s="9" t="e">
        <f>t6yobgpercap</f>
        <v>#REF!</v>
      </c>
    </row>
    <row r="86" spans="1:2" x14ac:dyDescent="0.2">
      <c r="A86" t="s">
        <v>30</v>
      </c>
      <c r="B86" s="9"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t="e">
        <f>Numecodet7</f>
        <v>#REF!</v>
      </c>
    </row>
    <row r="95" spans="1:2" x14ac:dyDescent="0.2">
      <c r="A95" t="s">
        <v>37</v>
      </c>
      <c r="B95" t="e">
        <f>Numealtt7</f>
        <v>#REF!</v>
      </c>
    </row>
    <row r="96" spans="1:2" x14ac:dyDescent="0.2">
      <c r="A96" t="s">
        <v>313</v>
      </c>
      <c r="B96" t="e">
        <f>JJCPAt7</f>
        <v>#REF!</v>
      </c>
    </row>
    <row r="97" spans="1:2" x14ac:dyDescent="0.2">
      <c r="A97" t="s">
        <v>314</v>
      </c>
      <c r="B97" t="e">
        <f>Othert7</f>
        <v>#REF!</v>
      </c>
    </row>
    <row r="98" spans="1:2" x14ac:dyDescent="0.2">
      <c r="A98" t="s">
        <v>68</v>
      </c>
      <c r="B98" s="7" t="e">
        <f>t7casecount</f>
        <v>#REF!</v>
      </c>
    </row>
    <row r="99" spans="1:2" x14ac:dyDescent="0.2">
      <c r="A99" t="s">
        <v>69</v>
      </c>
      <c r="B99" s="9" t="e">
        <f>t7yobgpercap</f>
        <v>#REF!</v>
      </c>
    </row>
    <row r="100" spans="1:2" x14ac:dyDescent="0.2">
      <c r="A100" t="s">
        <v>70</v>
      </c>
      <c r="B100" s="9"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t="e">
        <f>Numecodet8</f>
        <v>#REF!</v>
      </c>
    </row>
    <row r="109" spans="1:2" x14ac:dyDescent="0.2">
      <c r="A109" t="s">
        <v>77</v>
      </c>
      <c r="B109" t="e">
        <f>Numealtt8</f>
        <v>#REF!</v>
      </c>
    </row>
    <row r="110" spans="1:2" x14ac:dyDescent="0.2">
      <c r="A110" t="s">
        <v>315</v>
      </c>
      <c r="B110" t="e">
        <f>JJCPAt8</f>
        <v>#REF!</v>
      </c>
    </row>
    <row r="111" spans="1:2" x14ac:dyDescent="0.2">
      <c r="A111" t="s">
        <v>316</v>
      </c>
      <c r="B111" t="e">
        <f>Othert8</f>
        <v>#REF!</v>
      </c>
    </row>
    <row r="112" spans="1:2" x14ac:dyDescent="0.2">
      <c r="A112" t="s">
        <v>108</v>
      </c>
      <c r="B112" s="7" t="e">
        <f>t8casecount</f>
        <v>#REF!</v>
      </c>
    </row>
    <row r="113" spans="1:2" x14ac:dyDescent="0.2">
      <c r="A113" t="s">
        <v>109</v>
      </c>
      <c r="B113" s="9" t="e">
        <f>t8yobgpercap</f>
        <v>#REF!</v>
      </c>
    </row>
    <row r="114" spans="1:2" x14ac:dyDescent="0.2">
      <c r="A114" t="s">
        <v>110</v>
      </c>
      <c r="B114" s="9"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t="e">
        <f>Numecodet9</f>
        <v>#REF!</v>
      </c>
    </row>
    <row r="123" spans="1:2" x14ac:dyDescent="0.2">
      <c r="A123" t="s">
        <v>117</v>
      </c>
      <c r="B123" t="e">
        <f>Numealtt9</f>
        <v>#REF!</v>
      </c>
    </row>
    <row r="124" spans="1:2" x14ac:dyDescent="0.2">
      <c r="A124" t="s">
        <v>317</v>
      </c>
      <c r="B124" t="e">
        <f>JJCPAt9</f>
        <v>#REF!</v>
      </c>
    </row>
    <row r="125" spans="1:2" x14ac:dyDescent="0.2">
      <c r="A125" t="s">
        <v>318</v>
      </c>
      <c r="B125" t="e">
        <f>Othert9</f>
        <v>#REF!</v>
      </c>
    </row>
    <row r="126" spans="1:2" x14ac:dyDescent="0.2">
      <c r="A126" t="s">
        <v>148</v>
      </c>
      <c r="B126" s="7" t="e">
        <f>t9casecount</f>
        <v>#REF!</v>
      </c>
    </row>
    <row r="127" spans="1:2" x14ac:dyDescent="0.2">
      <c r="A127" t="s">
        <v>149</v>
      </c>
      <c r="B127" s="9" t="e">
        <f>t9yobgpercap</f>
        <v>#REF!</v>
      </c>
    </row>
    <row r="128" spans="1:2" x14ac:dyDescent="0.2">
      <c r="A128" t="s">
        <v>150</v>
      </c>
      <c r="B128" s="9"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t="e">
        <f>Numecodet10</f>
        <v>#REF!</v>
      </c>
    </row>
    <row r="137" spans="1:2" x14ac:dyDescent="0.2">
      <c r="A137" t="s">
        <v>189</v>
      </c>
      <c r="B137" t="e">
        <f>Numealtt10</f>
        <v>#REF!</v>
      </c>
    </row>
    <row r="138" spans="1:2" x14ac:dyDescent="0.2">
      <c r="A138" t="s">
        <v>319</v>
      </c>
      <c r="B138" t="e">
        <f>JJCPAt10</f>
        <v>#REF!</v>
      </c>
    </row>
    <row r="139" spans="1:2" x14ac:dyDescent="0.2">
      <c r="A139" t="s">
        <v>320</v>
      </c>
      <c r="B139" t="e">
        <f>Othert10</f>
        <v>#REF!</v>
      </c>
    </row>
    <row r="140" spans="1:2" x14ac:dyDescent="0.2">
      <c r="A140" t="s">
        <v>358</v>
      </c>
      <c r="B140" s="7" t="e">
        <f>t10casecount</f>
        <v>#REF!</v>
      </c>
    </row>
    <row r="141" spans="1:2" x14ac:dyDescent="0.2">
      <c r="A141" t="s">
        <v>157</v>
      </c>
      <c r="B141" s="9" t="e">
        <f>t10yobgpercap</f>
        <v>#REF!</v>
      </c>
    </row>
    <row r="142" spans="1:2" x14ac:dyDescent="0.2">
      <c r="A142" t="s">
        <v>359</v>
      </c>
      <c r="B142" s="9"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33" t="s">
        <v>802</v>
      </c>
      <c r="B150" s="8" t="e">
        <f>totyobgexp</f>
        <v>#REF!</v>
      </c>
    </row>
    <row r="151" spans="1:2" x14ac:dyDescent="0.2">
      <c r="A151" s="33" t="s">
        <v>806</v>
      </c>
      <c r="B151" s="8" t="e">
        <f>fy1314all</f>
        <v>#REF!</v>
      </c>
    </row>
    <row r="152" spans="1:2" x14ac:dyDescent="0.2">
      <c r="A152" s="33" t="s">
        <v>803</v>
      </c>
      <c r="B152" s="8" t="e">
        <f>fy1213all</f>
        <v>#REF!</v>
      </c>
    </row>
    <row r="153" spans="1:2" x14ac:dyDescent="0.2">
      <c r="A153" t="s">
        <v>751</v>
      </c>
      <c r="B153" s="8" t="e">
        <f>fy1112all</f>
        <v>#REF!</v>
      </c>
    </row>
    <row r="154" spans="1:2" x14ac:dyDescent="0.2">
      <c r="A154" t="s">
        <v>300</v>
      </c>
      <c r="B154" s="8" t="e">
        <f>fy1011all</f>
        <v>#REF!</v>
      </c>
    </row>
    <row r="155" spans="1:2" x14ac:dyDescent="0.2">
      <c r="A155" t="s">
        <v>298</v>
      </c>
      <c r="B155" s="8" t="e">
        <f>fy0910all</f>
        <v>#REF!</v>
      </c>
    </row>
    <row r="156" spans="1:2" x14ac:dyDescent="0.2">
      <c r="A156" t="s">
        <v>297</v>
      </c>
      <c r="B156" s="8" t="e">
        <f>fy0809all</f>
        <v>#REF!</v>
      </c>
    </row>
    <row r="157" spans="1:2" x14ac:dyDescent="0.2">
      <c r="A157" t="s">
        <v>296</v>
      </c>
      <c r="B157" s="8" t="e">
        <f>fy0708all</f>
        <v>#REF!</v>
      </c>
    </row>
    <row r="158" spans="1:2" x14ac:dyDescent="0.2">
      <c r="A158" s="33" t="s">
        <v>804</v>
      </c>
      <c r="B158" s="8" t="e">
        <f>totforall</f>
        <v>#REF!</v>
      </c>
    </row>
    <row r="159" spans="1:2" x14ac:dyDescent="0.2">
      <c r="A159" t="s">
        <v>299</v>
      </c>
      <c r="B159" s="8"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8">
        <f>t1jjcpatot</f>
        <v>29523658</v>
      </c>
    </row>
    <row r="164" spans="1:2" x14ac:dyDescent="0.2">
      <c r="A164" t="s">
        <v>760</v>
      </c>
      <c r="B164" t="e">
        <f>Othert1</f>
        <v>#REF!</v>
      </c>
    </row>
    <row r="165" spans="1:2" x14ac:dyDescent="0.2">
      <c r="A165" t="s">
        <v>761</v>
      </c>
      <c r="B165" s="8">
        <f>t1othertot</f>
        <v>0</v>
      </c>
    </row>
    <row r="166" spans="1:2" x14ac:dyDescent="0.2">
      <c r="A166" t="s">
        <v>793</v>
      </c>
      <c r="B166" t="e">
        <f>Numecodet2</f>
        <v>#REF!</v>
      </c>
    </row>
    <row r="167" spans="1:2" x14ac:dyDescent="0.2">
      <c r="A167" t="s">
        <v>754</v>
      </c>
      <c r="B167" t="e">
        <f>JJCPAt2</f>
        <v>#REF!</v>
      </c>
    </row>
    <row r="168" spans="1:2" x14ac:dyDescent="0.2">
      <c r="A168" t="s">
        <v>755</v>
      </c>
      <c r="B168" s="8" t="e">
        <f>t2jjcpatot</f>
        <v>#REF!</v>
      </c>
    </row>
    <row r="169" spans="1:2" x14ac:dyDescent="0.2">
      <c r="A169" t="s">
        <v>762</v>
      </c>
      <c r="B169" t="e">
        <f>Othert2</f>
        <v>#REF!</v>
      </c>
    </row>
    <row r="170" spans="1:2" x14ac:dyDescent="0.2">
      <c r="A170" t="s">
        <v>763</v>
      </c>
      <c r="B170" s="8" t="e">
        <f>t2othertot</f>
        <v>#REF!</v>
      </c>
    </row>
    <row r="171" spans="1:2" x14ac:dyDescent="0.2">
      <c r="A171" t="s">
        <v>794</v>
      </c>
      <c r="B171" t="e">
        <f>Numecodet3</f>
        <v>#REF!</v>
      </c>
    </row>
    <row r="172" spans="1:2" x14ac:dyDescent="0.2">
      <c r="A172" t="s">
        <v>756</v>
      </c>
      <c r="B172" t="e">
        <f>JJCPAt3</f>
        <v>#REF!</v>
      </c>
    </row>
    <row r="173" spans="1:2" x14ac:dyDescent="0.2">
      <c r="A173" t="s">
        <v>757</v>
      </c>
      <c r="B173" s="8" t="e">
        <f>t3jjcpatot</f>
        <v>#REF!</v>
      </c>
    </row>
    <row r="174" spans="1:2" x14ac:dyDescent="0.2">
      <c r="A174" t="s">
        <v>764</v>
      </c>
      <c r="B174" t="e">
        <f>Othert3</f>
        <v>#REF!</v>
      </c>
    </row>
    <row r="175" spans="1:2" x14ac:dyDescent="0.2">
      <c r="A175" t="s">
        <v>765</v>
      </c>
      <c r="B175" s="8" t="e">
        <f>t3othertot</f>
        <v>#REF!</v>
      </c>
    </row>
    <row r="176" spans="1:2" x14ac:dyDescent="0.2">
      <c r="A176" t="s">
        <v>795</v>
      </c>
      <c r="B176" t="e">
        <f>Numecodet4</f>
        <v>#REF!</v>
      </c>
    </row>
    <row r="177" spans="1:2" x14ac:dyDescent="0.2">
      <c r="A177" t="s">
        <v>758</v>
      </c>
      <c r="B177" t="e">
        <f>JJCPAt4</f>
        <v>#REF!</v>
      </c>
    </row>
    <row r="178" spans="1:2" x14ac:dyDescent="0.2">
      <c r="A178" t="s">
        <v>759</v>
      </c>
      <c r="B178" s="8" t="e">
        <f>t4jjcpatot</f>
        <v>#REF!</v>
      </c>
    </row>
    <row r="179" spans="1:2" x14ac:dyDescent="0.2">
      <c r="A179" t="s">
        <v>766</v>
      </c>
      <c r="B179" t="e">
        <f>Othert4</f>
        <v>#REF!</v>
      </c>
    </row>
    <row r="180" spans="1:2" x14ac:dyDescent="0.2">
      <c r="A180" t="s">
        <v>767</v>
      </c>
      <c r="B180" s="8" t="e">
        <f>t4othertot</f>
        <v>#REF!</v>
      </c>
    </row>
    <row r="181" spans="1:2" x14ac:dyDescent="0.2">
      <c r="A181" t="s">
        <v>796</v>
      </c>
      <c r="B181" t="e">
        <f>Numecodet5</f>
        <v>#REF!</v>
      </c>
    </row>
    <row r="182" spans="1:2" x14ac:dyDescent="0.2">
      <c r="A182" t="s">
        <v>768</v>
      </c>
      <c r="B182" t="e">
        <f>JJCPAt5</f>
        <v>#REF!</v>
      </c>
    </row>
    <row r="183" spans="1:2" x14ac:dyDescent="0.2">
      <c r="A183" t="s">
        <v>769</v>
      </c>
      <c r="B183" s="8" t="e">
        <f>t5jjcpatot</f>
        <v>#REF!</v>
      </c>
    </row>
    <row r="184" spans="1:2" x14ac:dyDescent="0.2">
      <c r="A184" t="s">
        <v>770</v>
      </c>
      <c r="B184" t="e">
        <f>Othert5</f>
        <v>#REF!</v>
      </c>
    </row>
    <row r="185" spans="1:2" x14ac:dyDescent="0.2">
      <c r="A185" t="s">
        <v>771</v>
      </c>
      <c r="B185" s="8" t="e">
        <f>t5othertot</f>
        <v>#REF!</v>
      </c>
    </row>
    <row r="186" spans="1:2" x14ac:dyDescent="0.2">
      <c r="A186" t="s">
        <v>797</v>
      </c>
      <c r="B186" t="e">
        <f>Numecodet6</f>
        <v>#REF!</v>
      </c>
    </row>
    <row r="187" spans="1:2" x14ac:dyDescent="0.2">
      <c r="A187" t="s">
        <v>772</v>
      </c>
      <c r="B187" t="e">
        <f>JJCPAt6</f>
        <v>#REF!</v>
      </c>
    </row>
    <row r="188" spans="1:2" x14ac:dyDescent="0.2">
      <c r="A188" t="s">
        <v>773</v>
      </c>
      <c r="B188" s="8" t="e">
        <f>t6jjcpatot</f>
        <v>#REF!</v>
      </c>
    </row>
    <row r="189" spans="1:2" x14ac:dyDescent="0.2">
      <c r="A189" t="s">
        <v>774</v>
      </c>
      <c r="B189" t="e">
        <f>Othert6</f>
        <v>#REF!</v>
      </c>
    </row>
    <row r="190" spans="1:2" x14ac:dyDescent="0.2">
      <c r="A190" t="s">
        <v>775</v>
      </c>
      <c r="B190" s="8" t="e">
        <f>t6othertot</f>
        <v>#REF!</v>
      </c>
    </row>
    <row r="191" spans="1:2" x14ac:dyDescent="0.2">
      <c r="A191" t="s">
        <v>798</v>
      </c>
      <c r="B191" t="e">
        <f>Numecodet7</f>
        <v>#REF!</v>
      </c>
    </row>
    <row r="192" spans="1:2" x14ac:dyDescent="0.2">
      <c r="A192" t="s">
        <v>776</v>
      </c>
      <c r="B192" t="e">
        <f>JJCPAt7</f>
        <v>#REF!</v>
      </c>
    </row>
    <row r="193" spans="1:2" x14ac:dyDescent="0.2">
      <c r="A193" t="s">
        <v>777</v>
      </c>
      <c r="B193" s="8" t="e">
        <f>t7jjcpatot</f>
        <v>#REF!</v>
      </c>
    </row>
    <row r="194" spans="1:2" x14ac:dyDescent="0.2">
      <c r="A194" t="s">
        <v>778</v>
      </c>
      <c r="B194" t="e">
        <f>Othert7</f>
        <v>#REF!</v>
      </c>
    </row>
    <row r="195" spans="1:2" x14ac:dyDescent="0.2">
      <c r="A195" t="s">
        <v>779</v>
      </c>
      <c r="B195" s="8" t="e">
        <f>t7othertot</f>
        <v>#REF!</v>
      </c>
    </row>
    <row r="196" spans="1:2" x14ac:dyDescent="0.2">
      <c r="A196" t="s">
        <v>799</v>
      </c>
      <c r="B196" t="e">
        <f>Numecodet8</f>
        <v>#REF!</v>
      </c>
    </row>
    <row r="197" spans="1:2" x14ac:dyDescent="0.2">
      <c r="A197" t="s">
        <v>780</v>
      </c>
      <c r="B197" t="e">
        <f>JJCPAt8</f>
        <v>#REF!</v>
      </c>
    </row>
    <row r="198" spans="1:2" x14ac:dyDescent="0.2">
      <c r="A198" t="s">
        <v>781</v>
      </c>
      <c r="B198" s="8" t="e">
        <f>t8jjcpatot</f>
        <v>#REF!</v>
      </c>
    </row>
    <row r="199" spans="1:2" x14ac:dyDescent="0.2">
      <c r="A199" t="s">
        <v>782</v>
      </c>
      <c r="B199" t="e">
        <f>Othert8</f>
        <v>#REF!</v>
      </c>
    </row>
    <row r="200" spans="1:2" x14ac:dyDescent="0.2">
      <c r="A200" t="s">
        <v>783</v>
      </c>
      <c r="B200" s="8" t="e">
        <f>t8othertot</f>
        <v>#REF!</v>
      </c>
    </row>
    <row r="201" spans="1:2" x14ac:dyDescent="0.2">
      <c r="A201" t="s">
        <v>800</v>
      </c>
      <c r="B201" t="e">
        <f>Numecodet9</f>
        <v>#REF!</v>
      </c>
    </row>
    <row r="202" spans="1:2" x14ac:dyDescent="0.2">
      <c r="A202" t="s">
        <v>784</v>
      </c>
      <c r="B202" t="e">
        <f>JJCPAt9</f>
        <v>#REF!</v>
      </c>
    </row>
    <row r="203" spans="1:2" x14ac:dyDescent="0.2">
      <c r="A203" t="s">
        <v>785</v>
      </c>
      <c r="B203" s="8" t="e">
        <f>t9jjcpatot</f>
        <v>#REF!</v>
      </c>
    </row>
    <row r="204" spans="1:2" x14ac:dyDescent="0.2">
      <c r="A204" t="s">
        <v>786</v>
      </c>
      <c r="B204" t="e">
        <f>Othert9</f>
        <v>#REF!</v>
      </c>
    </row>
    <row r="205" spans="1:2" x14ac:dyDescent="0.2">
      <c r="A205" t="s">
        <v>787</v>
      </c>
      <c r="B205" s="8" t="e">
        <f>t9othertot</f>
        <v>#REF!</v>
      </c>
    </row>
    <row r="206" spans="1:2" x14ac:dyDescent="0.2">
      <c r="A206" t="s">
        <v>801</v>
      </c>
      <c r="B206" t="e">
        <f>Numcodet10</f>
        <v>#REF!</v>
      </c>
    </row>
    <row r="207" spans="1:2" x14ac:dyDescent="0.2">
      <c r="A207" t="s">
        <v>788</v>
      </c>
      <c r="B207" t="e">
        <f>JJCPAt10</f>
        <v>#REF!</v>
      </c>
    </row>
    <row r="208" spans="1:2" x14ac:dyDescent="0.2">
      <c r="A208" t="s">
        <v>789</v>
      </c>
      <c r="B208" s="8" t="e">
        <f>t10jjcpatot</f>
        <v>#REF!</v>
      </c>
    </row>
    <row r="209" spans="1:2" x14ac:dyDescent="0.2">
      <c r="A209" t="s">
        <v>790</v>
      </c>
      <c r="B209" t="e">
        <f>Othert10</f>
        <v>#REF!</v>
      </c>
    </row>
    <row r="210" spans="1:2" x14ac:dyDescent="0.2">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ColWidth="8.85546875" defaultRowHeight="12.75" x14ac:dyDescent="0.2"/>
  <cols>
    <col min="2" max="2" width="34.42578125" customWidth="1"/>
    <col min="4" max="4" width="12.42578125" customWidth="1"/>
    <col min="7" max="7" width="27.42578125" customWidth="1"/>
  </cols>
  <sheetData>
    <row r="1" spans="1:4" x14ac:dyDescent="0.2">
      <c r="A1">
        <v>1</v>
      </c>
      <c r="B1" s="1" t="s">
        <v>468</v>
      </c>
      <c r="C1">
        <v>1</v>
      </c>
      <c r="D1" t="s">
        <v>407</v>
      </c>
    </row>
    <row r="2" spans="1:4" x14ac:dyDescent="0.2">
      <c r="A2">
        <v>2</v>
      </c>
      <c r="B2" s="1" t="s">
        <v>469</v>
      </c>
      <c r="C2">
        <v>2</v>
      </c>
      <c r="D2" t="s">
        <v>462</v>
      </c>
    </row>
    <row r="3" spans="1:4" x14ac:dyDescent="0.2">
      <c r="A3">
        <v>3</v>
      </c>
      <c r="B3" s="1" t="s">
        <v>470</v>
      </c>
      <c r="D3" t="s">
        <v>408</v>
      </c>
    </row>
    <row r="4" spans="1:4" x14ac:dyDescent="0.2">
      <c r="A4">
        <v>4</v>
      </c>
      <c r="B4" s="1" t="s">
        <v>471</v>
      </c>
      <c r="D4" t="s">
        <v>409</v>
      </c>
    </row>
    <row r="5" spans="1:4" x14ac:dyDescent="0.2">
      <c r="A5">
        <v>5</v>
      </c>
      <c r="B5" s="1" t="s">
        <v>472</v>
      </c>
      <c r="D5" t="s">
        <v>410</v>
      </c>
    </row>
    <row r="6" spans="1:4" x14ac:dyDescent="0.2">
      <c r="A6">
        <v>6</v>
      </c>
      <c r="B6" s="1" t="s">
        <v>473</v>
      </c>
      <c r="D6" t="s">
        <v>411</v>
      </c>
    </row>
    <row r="7" spans="1:4" x14ac:dyDescent="0.2">
      <c r="A7">
        <v>7</v>
      </c>
      <c r="B7" s="1" t="s">
        <v>474</v>
      </c>
      <c r="D7" t="s">
        <v>412</v>
      </c>
    </row>
    <row r="8" spans="1:4" x14ac:dyDescent="0.2">
      <c r="A8">
        <v>8</v>
      </c>
      <c r="B8" s="1" t="s">
        <v>536</v>
      </c>
      <c r="D8" t="s">
        <v>324</v>
      </c>
    </row>
    <row r="9" spans="1:4" x14ac:dyDescent="0.2">
      <c r="A9">
        <v>9</v>
      </c>
      <c r="B9" s="1" t="s">
        <v>475</v>
      </c>
      <c r="D9" t="s">
        <v>413</v>
      </c>
    </row>
    <row r="10" spans="1:4" x14ac:dyDescent="0.2">
      <c r="A10">
        <v>10</v>
      </c>
      <c r="B10" s="1" t="s">
        <v>476</v>
      </c>
      <c r="D10" t="s">
        <v>414</v>
      </c>
    </row>
    <row r="11" spans="1:4" x14ac:dyDescent="0.2">
      <c r="A11">
        <v>11</v>
      </c>
      <c r="B11" s="1" t="s">
        <v>477</v>
      </c>
      <c r="D11" t="s">
        <v>415</v>
      </c>
    </row>
    <row r="12" spans="1:4" x14ac:dyDescent="0.2">
      <c r="A12">
        <v>12</v>
      </c>
      <c r="B12" s="1" t="s">
        <v>478</v>
      </c>
      <c r="D12" t="s">
        <v>416</v>
      </c>
    </row>
    <row r="13" spans="1:4" x14ac:dyDescent="0.2">
      <c r="A13">
        <v>13</v>
      </c>
      <c r="B13" s="1" t="s">
        <v>479</v>
      </c>
      <c r="D13" t="s">
        <v>417</v>
      </c>
    </row>
    <row r="14" spans="1:4" x14ac:dyDescent="0.2">
      <c r="A14">
        <v>14</v>
      </c>
      <c r="B14" s="1" t="s">
        <v>480</v>
      </c>
      <c r="D14" t="s">
        <v>418</v>
      </c>
    </row>
    <row r="15" spans="1:4" x14ac:dyDescent="0.2">
      <c r="A15">
        <v>15</v>
      </c>
      <c r="B15" s="1" t="s">
        <v>481</v>
      </c>
      <c r="D15" t="s">
        <v>419</v>
      </c>
    </row>
    <row r="16" spans="1:4" x14ac:dyDescent="0.2">
      <c r="A16">
        <v>16</v>
      </c>
      <c r="B16" s="1" t="s">
        <v>482</v>
      </c>
      <c r="D16" t="s">
        <v>420</v>
      </c>
    </row>
    <row r="17" spans="1:7" x14ac:dyDescent="0.2">
      <c r="A17">
        <v>17</v>
      </c>
      <c r="B17" s="1" t="s">
        <v>483</v>
      </c>
      <c r="D17" t="s">
        <v>421</v>
      </c>
    </row>
    <row r="18" spans="1:7" x14ac:dyDescent="0.2">
      <c r="A18">
        <v>18</v>
      </c>
      <c r="B18" s="1" t="s">
        <v>484</v>
      </c>
      <c r="D18" t="s">
        <v>422</v>
      </c>
    </row>
    <row r="19" spans="1:7" x14ac:dyDescent="0.2">
      <c r="A19">
        <v>19</v>
      </c>
      <c r="B19" s="1" t="s">
        <v>485</v>
      </c>
      <c r="D19" t="s">
        <v>423</v>
      </c>
    </row>
    <row r="20" spans="1:7" x14ac:dyDescent="0.2">
      <c r="A20">
        <v>20</v>
      </c>
      <c r="B20" s="1" t="s">
        <v>486</v>
      </c>
      <c r="D20" t="s">
        <v>424</v>
      </c>
    </row>
    <row r="21" spans="1:7" x14ac:dyDescent="0.2">
      <c r="A21">
        <v>21</v>
      </c>
      <c r="B21" s="1" t="s">
        <v>487</v>
      </c>
      <c r="D21" t="s">
        <v>425</v>
      </c>
    </row>
    <row r="22" spans="1:7" x14ac:dyDescent="0.2">
      <c r="A22">
        <v>22</v>
      </c>
      <c r="B22" s="1" t="s">
        <v>488</v>
      </c>
      <c r="D22" t="s">
        <v>426</v>
      </c>
    </row>
    <row r="23" spans="1:7" x14ac:dyDescent="0.2">
      <c r="A23">
        <v>23</v>
      </c>
      <c r="B23" s="1" t="s">
        <v>489</v>
      </c>
      <c r="D23" t="s">
        <v>427</v>
      </c>
    </row>
    <row r="24" spans="1:7" x14ac:dyDescent="0.2">
      <c r="A24">
        <v>24</v>
      </c>
      <c r="B24" s="1" t="s">
        <v>490</v>
      </c>
      <c r="D24" t="s">
        <v>428</v>
      </c>
      <c r="F24" s="10" t="s">
        <v>405</v>
      </c>
      <c r="G24" s="1" t="s">
        <v>377</v>
      </c>
    </row>
    <row r="25" spans="1:7" x14ac:dyDescent="0.2">
      <c r="A25">
        <v>25</v>
      </c>
      <c r="B25" s="1" t="s">
        <v>491</v>
      </c>
      <c r="D25" t="s">
        <v>429</v>
      </c>
      <c r="F25" s="10" t="s">
        <v>406</v>
      </c>
      <c r="G25" s="17" t="s">
        <v>372</v>
      </c>
    </row>
    <row r="26" spans="1:7" x14ac:dyDescent="0.2">
      <c r="A26">
        <v>26</v>
      </c>
      <c r="B26" s="1" t="s">
        <v>492</v>
      </c>
      <c r="D26" t="s">
        <v>323</v>
      </c>
      <c r="G26" s="17" t="s">
        <v>373</v>
      </c>
    </row>
    <row r="27" spans="1:7" x14ac:dyDescent="0.2">
      <c r="A27">
        <v>27</v>
      </c>
      <c r="B27" s="1" t="s">
        <v>493</v>
      </c>
      <c r="D27" t="s">
        <v>430</v>
      </c>
      <c r="G27" s="17" t="s">
        <v>376</v>
      </c>
    </row>
    <row r="28" spans="1:7" x14ac:dyDescent="0.2">
      <c r="A28">
        <v>28</v>
      </c>
      <c r="B28" s="1" t="s">
        <v>494</v>
      </c>
      <c r="D28" t="s">
        <v>431</v>
      </c>
      <c r="G28" s="17" t="s">
        <v>374</v>
      </c>
    </row>
    <row r="29" spans="1:7" x14ac:dyDescent="0.2">
      <c r="A29">
        <v>29</v>
      </c>
      <c r="B29" s="1" t="s">
        <v>495</v>
      </c>
      <c r="D29" t="s">
        <v>432</v>
      </c>
      <c r="G29" s="17" t="s">
        <v>375</v>
      </c>
    </row>
    <row r="30" spans="1:7" x14ac:dyDescent="0.2">
      <c r="A30">
        <v>30</v>
      </c>
      <c r="B30" s="1" t="s">
        <v>496</v>
      </c>
      <c r="D30" t="s">
        <v>433</v>
      </c>
      <c r="G30" s="17" t="s">
        <v>378</v>
      </c>
    </row>
    <row r="31" spans="1:7" x14ac:dyDescent="0.2">
      <c r="A31">
        <v>31</v>
      </c>
      <c r="B31" s="1" t="s">
        <v>497</v>
      </c>
      <c r="D31" t="s">
        <v>434</v>
      </c>
      <c r="G31" s="17" t="s">
        <v>379</v>
      </c>
    </row>
    <row r="32" spans="1:7" x14ac:dyDescent="0.2">
      <c r="A32">
        <v>32</v>
      </c>
      <c r="B32" s="1" t="s">
        <v>498</v>
      </c>
      <c r="D32" t="s">
        <v>435</v>
      </c>
      <c r="G32" s="17" t="s">
        <v>380</v>
      </c>
    </row>
    <row r="33" spans="1:7" x14ac:dyDescent="0.2">
      <c r="A33">
        <v>33</v>
      </c>
      <c r="B33" s="1" t="s">
        <v>499</v>
      </c>
      <c r="D33" t="s">
        <v>436</v>
      </c>
      <c r="G33" s="17" t="s">
        <v>381</v>
      </c>
    </row>
    <row r="34" spans="1:7" x14ac:dyDescent="0.2">
      <c r="A34">
        <v>34</v>
      </c>
      <c r="B34" s="1" t="s">
        <v>326</v>
      </c>
      <c r="D34" t="s">
        <v>437</v>
      </c>
      <c r="G34" s="17" t="s">
        <v>382</v>
      </c>
    </row>
    <row r="35" spans="1:7" x14ac:dyDescent="0.2">
      <c r="A35">
        <v>35</v>
      </c>
      <c r="B35" s="1" t="s">
        <v>500</v>
      </c>
      <c r="D35" t="s">
        <v>438</v>
      </c>
      <c r="G35" s="17" t="s">
        <v>383</v>
      </c>
    </row>
    <row r="36" spans="1:7" x14ac:dyDescent="0.2">
      <c r="A36">
        <v>36</v>
      </c>
      <c r="B36" s="1" t="s">
        <v>501</v>
      </c>
      <c r="D36" t="s">
        <v>439</v>
      </c>
      <c r="G36" s="17" t="s">
        <v>384</v>
      </c>
    </row>
    <row r="37" spans="1:7" x14ac:dyDescent="0.2">
      <c r="A37">
        <v>37</v>
      </c>
      <c r="B37" s="1" t="s">
        <v>502</v>
      </c>
      <c r="D37" t="s">
        <v>440</v>
      </c>
      <c r="G37" s="17" t="s">
        <v>385</v>
      </c>
    </row>
    <row r="38" spans="1:7" x14ac:dyDescent="0.2">
      <c r="A38">
        <v>38</v>
      </c>
      <c r="B38" s="1" t="s">
        <v>503</v>
      </c>
      <c r="D38" t="s">
        <v>441</v>
      </c>
      <c r="G38" s="17" t="s">
        <v>386</v>
      </c>
    </row>
    <row r="39" spans="1:7" x14ac:dyDescent="0.2">
      <c r="A39">
        <v>39</v>
      </c>
      <c r="B39" s="1" t="s">
        <v>504</v>
      </c>
      <c r="D39" t="s">
        <v>442</v>
      </c>
      <c r="G39" s="17" t="s">
        <v>387</v>
      </c>
    </row>
    <row r="40" spans="1:7" x14ac:dyDescent="0.2">
      <c r="A40">
        <v>40</v>
      </c>
      <c r="B40" s="1" t="s">
        <v>516</v>
      </c>
      <c r="D40" t="s">
        <v>443</v>
      </c>
      <c r="G40" s="17" t="s">
        <v>388</v>
      </c>
    </row>
    <row r="41" spans="1:7" x14ac:dyDescent="0.2">
      <c r="A41">
        <v>41</v>
      </c>
      <c r="B41" s="1" t="s">
        <v>505</v>
      </c>
      <c r="D41" t="s">
        <v>444</v>
      </c>
      <c r="G41" s="17" t="s">
        <v>389</v>
      </c>
    </row>
    <row r="42" spans="1:7" x14ac:dyDescent="0.2">
      <c r="A42">
        <v>42</v>
      </c>
      <c r="B42" s="1" t="s">
        <v>506</v>
      </c>
      <c r="D42" t="s">
        <v>445</v>
      </c>
      <c r="G42" s="17" t="s">
        <v>512</v>
      </c>
    </row>
    <row r="43" spans="1:7" x14ac:dyDescent="0.2">
      <c r="A43">
        <v>43</v>
      </c>
      <c r="B43" s="1" t="s">
        <v>517</v>
      </c>
      <c r="D43" t="s">
        <v>446</v>
      </c>
    </row>
    <row r="44" spans="1:7" x14ac:dyDescent="0.2">
      <c r="A44">
        <v>44</v>
      </c>
      <c r="B44" s="1" t="s">
        <v>517</v>
      </c>
      <c r="D44" t="s">
        <v>447</v>
      </c>
    </row>
    <row r="45" spans="1:7" x14ac:dyDescent="0.2">
      <c r="A45">
        <v>45</v>
      </c>
      <c r="B45" s="1" t="s">
        <v>507</v>
      </c>
      <c r="D45" t="s">
        <v>448</v>
      </c>
    </row>
    <row r="46" spans="1:7" x14ac:dyDescent="0.2">
      <c r="A46">
        <v>46</v>
      </c>
      <c r="B46" s="1" t="s">
        <v>513</v>
      </c>
      <c r="D46" t="s">
        <v>461</v>
      </c>
    </row>
    <row r="47" spans="1:7" x14ac:dyDescent="0.2">
      <c r="A47">
        <v>47</v>
      </c>
      <c r="B47" s="1" t="s">
        <v>508</v>
      </c>
      <c r="D47" t="s">
        <v>449</v>
      </c>
    </row>
    <row r="48" spans="1:7" x14ac:dyDescent="0.2">
      <c r="A48">
        <v>48</v>
      </c>
      <c r="B48" s="1" t="s">
        <v>509</v>
      </c>
      <c r="D48" t="s">
        <v>450</v>
      </c>
    </row>
    <row r="49" spans="1:4" x14ac:dyDescent="0.2">
      <c r="A49">
        <v>49</v>
      </c>
      <c r="B49" s="1" t="s">
        <v>510</v>
      </c>
      <c r="D49" t="s">
        <v>451</v>
      </c>
    </row>
    <row r="50" spans="1:4" x14ac:dyDescent="0.2">
      <c r="A50">
        <v>50</v>
      </c>
      <c r="B50" s="1" t="s">
        <v>511</v>
      </c>
      <c r="D50" t="s">
        <v>452</v>
      </c>
    </row>
    <row r="51" spans="1:4" x14ac:dyDescent="0.2">
      <c r="A51">
        <v>51</v>
      </c>
      <c r="B51" s="1" t="s">
        <v>512</v>
      </c>
      <c r="D51" t="s">
        <v>453</v>
      </c>
    </row>
    <row r="52" spans="1:4" x14ac:dyDescent="0.2">
      <c r="A52">
        <v>52</v>
      </c>
      <c r="B52" s="1"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ColWidth="8.85546875"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18" t="str">
        <f>County</f>
        <v>Los Angeles</v>
      </c>
      <c r="B2" s="20">
        <f>Reportdate</f>
        <v>44829</v>
      </c>
      <c r="C2" s="19" t="e">
        <f>Chief</f>
        <v>#REF!</v>
      </c>
      <c r="D2" t="e">
        <f>Chiefphone2</f>
        <v>#REF!</v>
      </c>
      <c r="E2" t="e">
        <f>Address</f>
        <v>#REF!</v>
      </c>
      <c r="F2" t="e">
        <f>City</f>
        <v>#REF!</v>
      </c>
      <c r="G2" s="7" t="e">
        <f>ZIP</f>
        <v>#REF!</v>
      </c>
      <c r="H2" t="e">
        <f>Chiefemail2</f>
        <v>#REF!</v>
      </c>
      <c r="I2" t="str">
        <f>primcontact</f>
        <v>Sharon Harada</v>
      </c>
      <c r="J2" t="str">
        <f>primarytitle</f>
        <v>Bureau Chief</v>
      </c>
      <c r="K2" t="str">
        <f>primphone</f>
        <v>562-940-2507</v>
      </c>
      <c r="L2" t="str">
        <f>preemail</f>
        <v>sharon.harada@probation.lacounty.gov</v>
      </c>
      <c r="M2" t="str">
        <f>seccontact</f>
        <v>Sharon Hawkins</v>
      </c>
      <c r="N2" t="str">
        <f>seccontitle</f>
        <v>Probation Director</v>
      </c>
      <c r="O2" t="str">
        <f>secphone</f>
        <v>562-319-7341</v>
      </c>
      <c r="P2" t="str">
        <f>secemail</f>
        <v>sharon.hawkins@probation.lacounty.gov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0</v>
      </c>
      <c r="X2" s="8">
        <f>t1yobgserv</f>
        <v>0</v>
      </c>
      <c r="Y2" s="8">
        <f>t1yobgprof</f>
        <v>0</v>
      </c>
      <c r="Z2" s="8">
        <f>t1yobgcbo</f>
        <v>0</v>
      </c>
      <c r="AA2" s="8">
        <f>t1yobgequip</f>
        <v>0</v>
      </c>
      <c r="AB2" s="8">
        <f>t1yobgadmin</f>
        <v>0</v>
      </c>
      <c r="AC2" s="8">
        <f>t1yobgothr1</f>
        <v>0</v>
      </c>
      <c r="AD2" s="8">
        <f>t1yobgothr2</f>
        <v>0</v>
      </c>
      <c r="AE2" s="8">
        <f>t1yobgothr3</f>
        <v>0</v>
      </c>
      <c r="AF2" s="8">
        <f>t1yobgtot</f>
        <v>0</v>
      </c>
      <c r="AG2" s="8">
        <f>t1jjcpasal</f>
        <v>19097053</v>
      </c>
      <c r="AH2" s="8">
        <f>t1jjcpaserv</f>
        <v>8767159</v>
      </c>
      <c r="AI2" s="8">
        <f>t1jjcpaprof</f>
        <v>1367311</v>
      </c>
      <c r="AJ2" s="8">
        <f>t1jjcpacbo</f>
        <v>292135</v>
      </c>
      <c r="AK2" s="8">
        <f>t1jjcpaequip</f>
        <v>0</v>
      </c>
      <c r="AL2" s="8">
        <f>t1jjcpaadmin</f>
        <v>0</v>
      </c>
      <c r="AM2" s="8">
        <f>t1jjcpaothr1</f>
        <v>0</v>
      </c>
      <c r="AN2" s="8">
        <f>t1jjcpaothr2</f>
        <v>0</v>
      </c>
      <c r="AO2" s="8">
        <f>t1jjcpaothr3</f>
        <v>0</v>
      </c>
      <c r="AP2" s="8">
        <f>t1jjcpatot</f>
        <v>29523658</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ColWidth="8.85546875"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18" t="str">
        <f>County</f>
        <v>Los Angeles</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ColWidth="8.85546875" defaultRowHeight="12.75" x14ac:dyDescent="0.2"/>
  <sheetData>
    <row r="1" spans="1:210" x14ac:dyDescent="0.2">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18" t="str">
        <f>County</f>
        <v>Los Angeles</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29523658</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20" activePane="bottomLeft" state="frozen"/>
      <selection pane="bottomLeft" activeCell="A32" sqref="A32:O43"/>
    </sheetView>
  </sheetViews>
  <sheetFormatPr defaultColWidth="8.85546875" defaultRowHeight="12.75" x14ac:dyDescent="0.2"/>
  <cols>
    <col min="1" max="1" width="3.7109375" customWidth="1"/>
    <col min="5" max="5" width="6.42578125" customWidth="1"/>
    <col min="6" max="6" width="6.28515625" customWidth="1"/>
    <col min="7" max="14" width="5.7109375" customWidth="1"/>
    <col min="15" max="15" width="6.7109375" customWidth="1"/>
  </cols>
  <sheetData>
    <row r="1" spans="1:15" s="149" customFormat="1" ht="15.75" customHeight="1" x14ac:dyDescent="0.2">
      <c r="A1" s="249" t="s">
        <v>842</v>
      </c>
      <c r="B1" s="250"/>
      <c r="C1" s="250"/>
      <c r="D1" s="250"/>
      <c r="E1" s="250"/>
      <c r="F1" s="250"/>
      <c r="G1" s="250"/>
      <c r="H1" s="250"/>
      <c r="I1" s="250"/>
      <c r="J1" s="250"/>
      <c r="K1" s="247" t="str">
        <f>'CONTACT INFORMATION'!$A$24</f>
        <v>Los Angeles</v>
      </c>
      <c r="L1" s="247"/>
      <c r="M1" s="247"/>
      <c r="N1" s="247"/>
      <c r="O1" s="248"/>
    </row>
    <row r="2" spans="1:15" ht="8.25" customHeight="1" x14ac:dyDescent="0.25">
      <c r="A2" s="110"/>
      <c r="B2" s="110"/>
      <c r="C2" s="110"/>
      <c r="D2" s="110"/>
      <c r="E2" s="110"/>
      <c r="F2" s="110"/>
      <c r="G2" s="110"/>
      <c r="H2" s="110"/>
      <c r="I2" s="110"/>
      <c r="J2" s="110"/>
      <c r="K2" s="111"/>
      <c r="L2" s="111"/>
      <c r="M2" s="111"/>
      <c r="N2" s="111"/>
      <c r="O2" s="111"/>
    </row>
    <row r="3" spans="1:15" ht="15.75" customHeight="1" x14ac:dyDescent="0.2">
      <c r="A3" s="252" t="s">
        <v>843</v>
      </c>
      <c r="B3" s="253"/>
      <c r="C3" s="253"/>
      <c r="D3" s="253"/>
      <c r="E3" s="253"/>
      <c r="F3" s="253"/>
      <c r="G3" s="253"/>
      <c r="H3" s="253"/>
      <c r="I3" s="253"/>
      <c r="J3" s="253"/>
      <c r="K3" s="253"/>
      <c r="L3" s="253"/>
      <c r="M3" s="253"/>
      <c r="N3" s="253"/>
      <c r="O3" s="254"/>
    </row>
    <row r="4" spans="1:15" s="34" customFormat="1" ht="59.25" customHeight="1" x14ac:dyDescent="0.2">
      <c r="A4" s="256" t="s">
        <v>924</v>
      </c>
      <c r="B4" s="257"/>
      <c r="C4" s="257"/>
      <c r="D4" s="257"/>
      <c r="E4" s="257"/>
      <c r="F4" s="257"/>
      <c r="G4" s="257"/>
      <c r="H4" s="257"/>
      <c r="I4" s="257"/>
      <c r="J4" s="257"/>
      <c r="K4" s="257"/>
      <c r="L4" s="257"/>
      <c r="M4" s="257"/>
      <c r="N4" s="257"/>
      <c r="O4" s="258"/>
    </row>
    <row r="5" spans="1:15" s="34" customFormat="1" ht="12.75" customHeight="1" x14ac:dyDescent="0.2">
      <c r="A5" s="68"/>
      <c r="B5" s="53"/>
      <c r="C5" s="53"/>
      <c r="D5" s="53"/>
      <c r="E5" s="53"/>
      <c r="F5" s="53"/>
      <c r="G5" s="53"/>
      <c r="H5" s="53"/>
      <c r="I5" s="53"/>
      <c r="J5" s="53"/>
      <c r="K5" s="53"/>
      <c r="L5" s="53"/>
      <c r="M5" s="53"/>
      <c r="N5" s="53"/>
      <c r="O5" s="69"/>
    </row>
    <row r="6" spans="1:15" s="34" customFormat="1" ht="12.75" customHeight="1" x14ac:dyDescent="0.2">
      <c r="A6" s="68"/>
      <c r="B6" s="53"/>
      <c r="C6" s="251"/>
      <c r="D6" s="251"/>
      <c r="E6" s="251"/>
      <c r="F6" s="251"/>
      <c r="G6" s="251"/>
      <c r="H6" s="251"/>
      <c r="I6" s="251"/>
      <c r="J6" s="251"/>
      <c r="K6" s="251"/>
      <c r="L6" s="251"/>
      <c r="M6" s="53"/>
      <c r="N6" s="53"/>
      <c r="O6" s="69"/>
    </row>
    <row r="7" spans="1:15" ht="17.25" customHeight="1" x14ac:dyDescent="0.2">
      <c r="A7" s="71"/>
      <c r="D7" s="255" t="s">
        <v>812</v>
      </c>
      <c r="E7" s="255"/>
      <c r="F7" s="255"/>
      <c r="G7" s="255"/>
      <c r="H7" s="255"/>
      <c r="I7" s="255"/>
      <c r="J7" s="255"/>
      <c r="K7" s="255"/>
      <c r="L7" s="255"/>
      <c r="M7" s="157"/>
      <c r="O7" s="70"/>
    </row>
    <row r="8" spans="1:15" s="33" customFormat="1" ht="15" x14ac:dyDescent="0.25">
      <c r="A8" s="72"/>
      <c r="B8" s="104"/>
      <c r="E8" s="230" t="s">
        <v>884</v>
      </c>
      <c r="F8" s="230"/>
      <c r="G8" s="230"/>
      <c r="H8" s="230"/>
      <c r="I8" s="223">
        <v>71</v>
      </c>
      <c r="J8" s="224"/>
      <c r="K8" s="103"/>
      <c r="L8" s="103"/>
      <c r="M8" s="103"/>
      <c r="N8" s="134"/>
      <c r="O8" s="135"/>
    </row>
    <row r="9" spans="1:15" s="33" customFormat="1" ht="15" x14ac:dyDescent="0.25">
      <c r="A9" s="72"/>
      <c r="B9" s="104"/>
      <c r="E9" s="229" t="s">
        <v>885</v>
      </c>
      <c r="F9" s="229"/>
      <c r="G9" s="229"/>
      <c r="H9" s="229"/>
      <c r="I9" s="221">
        <v>0</v>
      </c>
      <c r="J9" s="222"/>
      <c r="K9" s="103"/>
      <c r="L9" s="103"/>
      <c r="M9" s="103"/>
      <c r="N9" s="134"/>
      <c r="O9" s="135"/>
    </row>
    <row r="10" spans="1:15" s="33" customFormat="1" ht="15" x14ac:dyDescent="0.25">
      <c r="A10" s="72"/>
      <c r="B10" s="104"/>
      <c r="E10" s="230" t="s">
        <v>886</v>
      </c>
      <c r="F10" s="245"/>
      <c r="G10" s="245"/>
      <c r="H10" s="246"/>
      <c r="I10" s="223">
        <v>2737</v>
      </c>
      <c r="J10" s="224"/>
      <c r="K10" s="103"/>
      <c r="L10" s="103"/>
      <c r="M10" s="103"/>
      <c r="N10" s="134"/>
      <c r="O10" s="135"/>
    </row>
    <row r="11" spans="1:15" s="33" customFormat="1" ht="15" x14ac:dyDescent="0.25">
      <c r="A11" s="72"/>
      <c r="B11" s="104"/>
      <c r="E11" s="121"/>
      <c r="F11" s="121"/>
      <c r="G11" s="121"/>
      <c r="H11" s="121"/>
      <c r="I11" s="136"/>
      <c r="J11" s="136"/>
      <c r="K11" s="103"/>
      <c r="L11" s="103"/>
      <c r="M11" s="103"/>
      <c r="N11" s="134"/>
      <c r="O11" s="135"/>
    </row>
    <row r="12" spans="1:15" ht="14.25" x14ac:dyDescent="0.2">
      <c r="A12" s="26"/>
      <c r="E12" s="103"/>
      <c r="F12" s="103"/>
      <c r="G12" s="103"/>
      <c r="H12" s="103"/>
      <c r="I12" s="73"/>
      <c r="J12" s="73"/>
      <c r="K12" s="73"/>
      <c r="L12" s="73"/>
      <c r="M12" s="73"/>
      <c r="N12" s="73"/>
      <c r="O12" s="74"/>
    </row>
    <row r="13" spans="1:15" s="34" customFormat="1" ht="17.25" customHeight="1" x14ac:dyDescent="0.2">
      <c r="A13" s="126"/>
      <c r="D13" s="244" t="s">
        <v>873</v>
      </c>
      <c r="E13" s="244"/>
      <c r="F13" s="244"/>
      <c r="G13" s="244"/>
      <c r="H13" s="244"/>
      <c r="I13" s="244"/>
      <c r="J13" s="244"/>
      <c r="K13" s="244"/>
      <c r="L13" s="244"/>
      <c r="M13" s="75"/>
      <c r="N13" s="75"/>
      <c r="O13" s="76"/>
    </row>
    <row r="14" spans="1:15" ht="14.25" x14ac:dyDescent="0.2">
      <c r="A14" s="26"/>
      <c r="E14" s="230" t="s">
        <v>813</v>
      </c>
      <c r="F14" s="230"/>
      <c r="G14" s="230"/>
      <c r="H14" s="230"/>
      <c r="I14" s="223">
        <v>3626</v>
      </c>
      <c r="J14" s="224"/>
      <c r="K14" s="73"/>
      <c r="L14" s="73"/>
      <c r="M14" s="73"/>
      <c r="N14" s="73"/>
      <c r="O14" s="74"/>
    </row>
    <row r="15" spans="1:15" ht="14.25" x14ac:dyDescent="0.2">
      <c r="A15" s="26"/>
      <c r="E15" s="229" t="s">
        <v>814</v>
      </c>
      <c r="F15" s="229"/>
      <c r="G15" s="229"/>
      <c r="H15" s="229"/>
      <c r="I15" s="221">
        <v>562</v>
      </c>
      <c r="J15" s="222"/>
      <c r="K15" s="73"/>
      <c r="L15" s="73"/>
      <c r="M15" s="73"/>
      <c r="N15" s="73"/>
      <c r="O15" s="74"/>
    </row>
    <row r="16" spans="1:15" ht="15" x14ac:dyDescent="0.25">
      <c r="A16" s="26"/>
      <c r="E16" s="231" t="s">
        <v>826</v>
      </c>
      <c r="F16" s="231"/>
      <c r="G16" s="231"/>
      <c r="H16" s="231"/>
      <c r="I16" s="225">
        <f>SUM(I14:J15)</f>
        <v>4188</v>
      </c>
      <c r="J16" s="226"/>
      <c r="K16" s="73"/>
      <c r="L16" s="73"/>
      <c r="M16" s="73"/>
      <c r="N16" s="73"/>
      <c r="O16" s="74"/>
    </row>
    <row r="17" spans="1:15" x14ac:dyDescent="0.2">
      <c r="A17" s="26"/>
      <c r="E17" s="73"/>
      <c r="F17" s="73"/>
      <c r="G17" s="73"/>
      <c r="H17" s="73"/>
      <c r="I17" s="73"/>
      <c r="J17" s="73"/>
      <c r="K17" s="73"/>
      <c r="L17" s="73"/>
      <c r="M17" s="73"/>
      <c r="N17" s="73"/>
      <c r="O17" s="74"/>
    </row>
    <row r="18" spans="1:15" x14ac:dyDescent="0.2">
      <c r="A18" s="26"/>
      <c r="E18" s="73"/>
      <c r="F18" s="73"/>
      <c r="G18" s="73"/>
      <c r="H18" s="73"/>
      <c r="I18" s="73"/>
      <c r="J18" s="73"/>
      <c r="K18" s="73"/>
      <c r="L18" s="73"/>
      <c r="M18" s="73"/>
      <c r="N18" s="73"/>
      <c r="O18" s="74"/>
    </row>
    <row r="19" spans="1:15" s="34" customFormat="1" ht="17.25" customHeight="1" x14ac:dyDescent="0.2">
      <c r="A19" s="126"/>
      <c r="D19" s="154" t="s">
        <v>849</v>
      </c>
      <c r="E19" s="154"/>
      <c r="F19" s="154"/>
      <c r="G19" s="154"/>
      <c r="H19" s="154"/>
      <c r="I19" s="154"/>
      <c r="J19" s="154"/>
      <c r="K19" s="154"/>
      <c r="L19" s="75"/>
      <c r="M19" s="75"/>
      <c r="N19" s="75"/>
      <c r="O19" s="76"/>
    </row>
    <row r="20" spans="1:15" ht="14.25" x14ac:dyDescent="0.2">
      <c r="A20" s="26"/>
      <c r="E20" s="230" t="s">
        <v>816</v>
      </c>
      <c r="F20" s="230"/>
      <c r="G20" s="230"/>
      <c r="H20" s="230"/>
      <c r="I20" s="223">
        <v>2527</v>
      </c>
      <c r="J20" s="224"/>
      <c r="K20" s="73"/>
      <c r="L20" s="73"/>
      <c r="M20" s="73"/>
      <c r="N20" s="73"/>
      <c r="O20" s="74"/>
    </row>
    <row r="21" spans="1:15" ht="14.25" x14ac:dyDescent="0.2">
      <c r="A21" s="26"/>
      <c r="E21" s="229" t="s">
        <v>817</v>
      </c>
      <c r="F21" s="229"/>
      <c r="G21" s="229"/>
      <c r="H21" s="229"/>
      <c r="I21" s="242">
        <v>166</v>
      </c>
      <c r="J21" s="243"/>
      <c r="K21" s="73"/>
      <c r="L21" s="73"/>
      <c r="M21" s="73"/>
      <c r="N21" s="73"/>
      <c r="O21" s="74"/>
    </row>
    <row r="22" spans="1:15" ht="14.25" x14ac:dyDescent="0.2">
      <c r="A22" s="26"/>
      <c r="E22" s="230" t="s">
        <v>818</v>
      </c>
      <c r="F22" s="230"/>
      <c r="G22" s="230"/>
      <c r="H22" s="230"/>
      <c r="I22" s="223">
        <v>1407</v>
      </c>
      <c r="J22" s="224"/>
      <c r="K22" s="73"/>
      <c r="L22" s="73"/>
      <c r="M22" s="73"/>
      <c r="N22" s="73"/>
      <c r="O22" s="74"/>
    </row>
    <row r="23" spans="1:15" ht="14.25" x14ac:dyDescent="0.2">
      <c r="A23" s="26"/>
      <c r="E23" s="229" t="s">
        <v>819</v>
      </c>
      <c r="F23" s="229"/>
      <c r="G23" s="229"/>
      <c r="H23" s="229"/>
      <c r="I23" s="221">
        <v>28</v>
      </c>
      <c r="J23" s="222"/>
      <c r="K23" s="73"/>
      <c r="L23" s="73"/>
      <c r="M23" s="73"/>
      <c r="N23" s="73"/>
      <c r="O23" s="74"/>
    </row>
    <row r="24" spans="1:15" ht="14.25" x14ac:dyDescent="0.2">
      <c r="A24" s="26"/>
      <c r="E24" s="230" t="s">
        <v>820</v>
      </c>
      <c r="F24" s="230"/>
      <c r="G24" s="230"/>
      <c r="H24" s="230"/>
      <c r="I24" s="223">
        <v>2</v>
      </c>
      <c r="J24" s="224"/>
      <c r="K24" s="73"/>
      <c r="L24" s="73"/>
      <c r="M24" s="73"/>
      <c r="N24" s="73"/>
      <c r="O24" s="74"/>
    </row>
    <row r="25" spans="1:15" ht="14.25" x14ac:dyDescent="0.2">
      <c r="A25" s="26"/>
      <c r="E25" s="229" t="s">
        <v>821</v>
      </c>
      <c r="F25" s="229"/>
      <c r="G25" s="229"/>
      <c r="H25" s="229"/>
      <c r="I25" s="221">
        <v>0</v>
      </c>
      <c r="J25" s="222"/>
      <c r="K25" s="73"/>
      <c r="L25" s="73"/>
      <c r="M25" s="73"/>
      <c r="N25" s="73"/>
      <c r="O25" s="74"/>
    </row>
    <row r="26" spans="1:15" ht="14.25" x14ac:dyDescent="0.2">
      <c r="A26" s="26"/>
      <c r="E26" s="230" t="s">
        <v>822</v>
      </c>
      <c r="F26" s="230"/>
      <c r="G26" s="230"/>
      <c r="H26" s="230"/>
      <c r="I26" s="223">
        <v>58</v>
      </c>
      <c r="J26" s="224"/>
      <c r="K26" s="73"/>
      <c r="L26" s="73"/>
      <c r="M26" s="73"/>
      <c r="N26" s="73"/>
      <c r="O26" s="74"/>
    </row>
    <row r="27" spans="1:15" ht="15" x14ac:dyDescent="0.25">
      <c r="A27" s="26"/>
      <c r="E27" s="231" t="s">
        <v>826</v>
      </c>
      <c r="F27" s="231"/>
      <c r="G27" s="231"/>
      <c r="H27" s="231"/>
      <c r="I27" s="225">
        <f>SUM(I20:J26)</f>
        <v>4188</v>
      </c>
      <c r="J27" s="226"/>
      <c r="K27" s="100"/>
      <c r="L27" s="100"/>
      <c r="M27" s="100"/>
      <c r="N27" s="100"/>
      <c r="O27" s="106"/>
    </row>
    <row r="28" spans="1:15" ht="15" x14ac:dyDescent="0.25">
      <c r="A28" s="26"/>
      <c r="B28" s="105"/>
      <c r="F28" s="100"/>
      <c r="G28" s="100"/>
      <c r="H28" s="100"/>
      <c r="I28" s="100"/>
      <c r="J28" s="100"/>
      <c r="K28" s="100"/>
      <c r="L28" s="100"/>
      <c r="M28" s="100"/>
      <c r="N28" s="100"/>
      <c r="O28" s="106"/>
    </row>
    <row r="29" spans="1:15" ht="15" x14ac:dyDescent="0.25">
      <c r="A29" s="44"/>
      <c r="B29" s="107"/>
      <c r="C29" s="45"/>
      <c r="D29" s="45"/>
      <c r="E29" s="45"/>
      <c r="F29" s="108"/>
      <c r="G29" s="108"/>
      <c r="H29" s="108"/>
      <c r="I29" s="108"/>
      <c r="J29" s="108"/>
      <c r="K29" s="108"/>
      <c r="L29" s="108"/>
      <c r="M29" s="108"/>
      <c r="N29" s="108"/>
      <c r="O29" s="109"/>
    </row>
    <row r="30" spans="1:15" ht="14.45" customHeight="1" x14ac:dyDescent="0.2"/>
    <row r="31" spans="1:15" ht="14.1" customHeight="1" x14ac:dyDescent="0.2">
      <c r="A31" s="2" t="s">
        <v>887</v>
      </c>
    </row>
    <row r="32" spans="1:15" ht="14.1" customHeight="1" x14ac:dyDescent="0.2">
      <c r="A32" s="233" t="s">
        <v>993</v>
      </c>
      <c r="B32" s="234"/>
      <c r="C32" s="234"/>
      <c r="D32" s="234"/>
      <c r="E32" s="234"/>
      <c r="F32" s="234"/>
      <c r="G32" s="234"/>
      <c r="H32" s="234"/>
      <c r="I32" s="234"/>
      <c r="J32" s="234"/>
      <c r="K32" s="234"/>
      <c r="L32" s="234"/>
      <c r="M32" s="234"/>
      <c r="N32" s="234"/>
      <c r="O32" s="235"/>
    </row>
    <row r="33" spans="1:15" ht="14.1" customHeight="1" x14ac:dyDescent="0.2">
      <c r="A33" s="236"/>
      <c r="B33" s="237"/>
      <c r="C33" s="237"/>
      <c r="D33" s="237"/>
      <c r="E33" s="237"/>
      <c r="F33" s="237"/>
      <c r="G33" s="237"/>
      <c r="H33" s="237"/>
      <c r="I33" s="237"/>
      <c r="J33" s="237"/>
      <c r="K33" s="237"/>
      <c r="L33" s="237"/>
      <c r="M33" s="237"/>
      <c r="N33" s="237"/>
      <c r="O33" s="238"/>
    </row>
    <row r="34" spans="1:15" ht="14.1" customHeight="1" x14ac:dyDescent="0.2">
      <c r="A34" s="236"/>
      <c r="B34" s="237"/>
      <c r="C34" s="237"/>
      <c r="D34" s="237"/>
      <c r="E34" s="237"/>
      <c r="F34" s="237"/>
      <c r="G34" s="237"/>
      <c r="H34" s="237"/>
      <c r="I34" s="237"/>
      <c r="J34" s="237"/>
      <c r="K34" s="237"/>
      <c r="L34" s="237"/>
      <c r="M34" s="237"/>
      <c r="N34" s="237"/>
      <c r="O34" s="238"/>
    </row>
    <row r="35" spans="1:15" ht="14.1" customHeight="1" x14ac:dyDescent="0.2">
      <c r="A35" s="236"/>
      <c r="B35" s="237"/>
      <c r="C35" s="237"/>
      <c r="D35" s="237"/>
      <c r="E35" s="237"/>
      <c r="F35" s="237"/>
      <c r="G35" s="237"/>
      <c r="H35" s="237"/>
      <c r="I35" s="237"/>
      <c r="J35" s="237"/>
      <c r="K35" s="237"/>
      <c r="L35" s="237"/>
      <c r="M35" s="237"/>
      <c r="N35" s="237"/>
      <c r="O35" s="238"/>
    </row>
    <row r="36" spans="1:15" ht="14.1" customHeight="1" x14ac:dyDescent="0.2">
      <c r="A36" s="236"/>
      <c r="B36" s="237"/>
      <c r="C36" s="237"/>
      <c r="D36" s="237"/>
      <c r="E36" s="237"/>
      <c r="F36" s="237"/>
      <c r="G36" s="237"/>
      <c r="H36" s="237"/>
      <c r="I36" s="237"/>
      <c r="J36" s="237"/>
      <c r="K36" s="237"/>
      <c r="L36" s="237"/>
      <c r="M36" s="237"/>
      <c r="N36" s="237"/>
      <c r="O36" s="238"/>
    </row>
    <row r="37" spans="1:15" ht="14.1" customHeight="1" x14ac:dyDescent="0.2">
      <c r="A37" s="236"/>
      <c r="B37" s="237"/>
      <c r="C37" s="237"/>
      <c r="D37" s="237"/>
      <c r="E37" s="237"/>
      <c r="F37" s="237"/>
      <c r="G37" s="237"/>
      <c r="H37" s="237"/>
      <c r="I37" s="237"/>
      <c r="J37" s="237"/>
      <c r="K37" s="237"/>
      <c r="L37" s="237"/>
      <c r="M37" s="237"/>
      <c r="N37" s="237"/>
      <c r="O37" s="238"/>
    </row>
    <row r="38" spans="1:15" ht="14.1" customHeight="1" x14ac:dyDescent="0.2">
      <c r="A38" s="236"/>
      <c r="B38" s="237"/>
      <c r="C38" s="237"/>
      <c r="D38" s="237"/>
      <c r="E38" s="237"/>
      <c r="F38" s="237"/>
      <c r="G38" s="237"/>
      <c r="H38" s="237"/>
      <c r="I38" s="237"/>
      <c r="J38" s="237"/>
      <c r="K38" s="237"/>
      <c r="L38" s="237"/>
      <c r="M38" s="237"/>
      <c r="N38" s="237"/>
      <c r="O38" s="238"/>
    </row>
    <row r="39" spans="1:15" ht="14.1" customHeight="1" x14ac:dyDescent="0.2">
      <c r="A39" s="236"/>
      <c r="B39" s="237"/>
      <c r="C39" s="237"/>
      <c r="D39" s="237"/>
      <c r="E39" s="237"/>
      <c r="F39" s="237"/>
      <c r="G39" s="237"/>
      <c r="H39" s="237"/>
      <c r="I39" s="237"/>
      <c r="J39" s="237"/>
      <c r="K39" s="237"/>
      <c r="L39" s="237"/>
      <c r="M39" s="237"/>
      <c r="N39" s="237"/>
      <c r="O39" s="238"/>
    </row>
    <row r="40" spans="1:15" ht="14.1" customHeight="1" x14ac:dyDescent="0.2">
      <c r="A40" s="236"/>
      <c r="B40" s="237"/>
      <c r="C40" s="237"/>
      <c r="D40" s="237"/>
      <c r="E40" s="237"/>
      <c r="F40" s="237"/>
      <c r="G40" s="237"/>
      <c r="H40" s="237"/>
      <c r="I40" s="237"/>
      <c r="J40" s="237"/>
      <c r="K40" s="237"/>
      <c r="L40" s="237"/>
      <c r="M40" s="237"/>
      <c r="N40" s="237"/>
      <c r="O40" s="238"/>
    </row>
    <row r="41" spans="1:15" ht="14.1" customHeight="1" x14ac:dyDescent="0.2">
      <c r="A41" s="236"/>
      <c r="B41" s="237"/>
      <c r="C41" s="237"/>
      <c r="D41" s="237"/>
      <c r="E41" s="237"/>
      <c r="F41" s="237"/>
      <c r="G41" s="237"/>
      <c r="H41" s="237"/>
      <c r="I41" s="237"/>
      <c r="J41" s="237"/>
      <c r="K41" s="237"/>
      <c r="L41" s="237"/>
      <c r="M41" s="237"/>
      <c r="N41" s="237"/>
      <c r="O41" s="238"/>
    </row>
    <row r="42" spans="1:15" ht="14.1" customHeight="1" x14ac:dyDescent="0.2">
      <c r="A42" s="236"/>
      <c r="B42" s="237"/>
      <c r="C42" s="237"/>
      <c r="D42" s="237"/>
      <c r="E42" s="237"/>
      <c r="F42" s="237"/>
      <c r="G42" s="237"/>
      <c r="H42" s="237"/>
      <c r="I42" s="237"/>
      <c r="J42" s="237"/>
      <c r="K42" s="237"/>
      <c r="L42" s="237"/>
      <c r="M42" s="237"/>
      <c r="N42" s="237"/>
      <c r="O42" s="238"/>
    </row>
    <row r="43" spans="1:15" ht="62.25" customHeight="1" x14ac:dyDescent="0.2">
      <c r="A43" s="239"/>
      <c r="B43" s="240"/>
      <c r="C43" s="240"/>
      <c r="D43" s="240"/>
      <c r="E43" s="240"/>
      <c r="F43" s="240"/>
      <c r="G43" s="240"/>
      <c r="H43" s="240"/>
      <c r="I43" s="240"/>
      <c r="J43" s="240"/>
      <c r="K43" s="240"/>
      <c r="L43" s="240"/>
      <c r="M43" s="240"/>
      <c r="N43" s="240"/>
      <c r="O43" s="241"/>
    </row>
    <row r="44" spans="1:15" s="102" customFormat="1" ht="14.1" customHeight="1" x14ac:dyDescent="0.2">
      <c r="A44" s="155"/>
      <c r="B44" s="155"/>
      <c r="C44" s="155"/>
      <c r="D44" s="155"/>
      <c r="E44" s="155"/>
      <c r="F44" s="112"/>
      <c r="G44" s="232"/>
      <c r="H44" s="232"/>
      <c r="I44" s="232"/>
      <c r="J44" s="232"/>
      <c r="K44" s="92"/>
      <c r="N44" s="227"/>
      <c r="O44" s="227"/>
    </row>
    <row r="45" spans="1:15" ht="15" x14ac:dyDescent="0.25">
      <c r="A45" s="55"/>
    </row>
    <row r="50" spans="1:15" s="102" customFormat="1" x14ac:dyDescent="0.2">
      <c r="A50" s="228"/>
      <c r="B50" s="228"/>
      <c r="C50" s="228"/>
      <c r="D50" s="228"/>
      <c r="E50" s="228"/>
      <c r="F50" s="228"/>
      <c r="G50" s="101"/>
      <c r="H50" s="101"/>
      <c r="I50" s="92"/>
      <c r="J50" s="92"/>
      <c r="K50" s="92"/>
      <c r="N50" s="227"/>
      <c r="O50" s="227"/>
    </row>
    <row r="68" spans="2:2" x14ac:dyDescent="0.2">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35" activePane="bottomLeft" state="frozen"/>
      <selection activeCell="B1" sqref="B1"/>
      <selection pane="bottomLeft" activeCell="R49" sqref="R49"/>
    </sheetView>
  </sheetViews>
  <sheetFormatPr defaultColWidth="8.85546875" defaultRowHeight="12.75" x14ac:dyDescent="0.2"/>
  <cols>
    <col min="1" max="1" width="3.7109375" customWidth="1"/>
    <col min="5" max="5" width="6.7109375" customWidth="1"/>
    <col min="6" max="6" width="6.42578125" customWidth="1"/>
    <col min="7" max="14" width="5.7109375" customWidth="1"/>
    <col min="15" max="15" width="6.7109375" customWidth="1"/>
  </cols>
  <sheetData>
    <row r="1" spans="1:15" ht="15.75" customHeight="1" x14ac:dyDescent="0.25">
      <c r="A1" s="280" t="s">
        <v>842</v>
      </c>
      <c r="B1" s="281"/>
      <c r="C1" s="281"/>
      <c r="D1" s="281"/>
      <c r="E1" s="281"/>
      <c r="F1" s="281"/>
      <c r="G1" s="281"/>
      <c r="H1" s="281"/>
      <c r="I1" s="281"/>
      <c r="J1" s="281"/>
      <c r="K1" s="278" t="str">
        <f>'CONTACT INFORMATION'!$A$24</f>
        <v>Los Angeles</v>
      </c>
      <c r="L1" s="278"/>
      <c r="M1" s="278"/>
      <c r="N1" s="278"/>
      <c r="O1" s="279"/>
    </row>
    <row r="2" spans="1:15" ht="8.1" customHeight="1" x14ac:dyDescent="0.25">
      <c r="A2" s="43"/>
      <c r="B2" s="43"/>
      <c r="C2" s="43"/>
      <c r="D2" s="43"/>
      <c r="E2" s="43"/>
      <c r="F2" s="43"/>
      <c r="G2" s="43"/>
      <c r="H2" s="43"/>
      <c r="I2" s="43"/>
      <c r="J2" s="43"/>
      <c r="K2" s="43"/>
      <c r="L2" s="43"/>
      <c r="M2" s="43"/>
      <c r="N2" s="43"/>
      <c r="O2" s="43"/>
    </row>
    <row r="3" spans="1:15" ht="24" customHeight="1" x14ac:dyDescent="0.2">
      <c r="A3" s="275" t="s">
        <v>844</v>
      </c>
      <c r="B3" s="276"/>
      <c r="C3" s="276"/>
      <c r="D3" s="276"/>
      <c r="E3" s="276"/>
      <c r="F3" s="276"/>
      <c r="G3" s="276"/>
      <c r="H3" s="276"/>
      <c r="I3" s="276"/>
      <c r="J3" s="276"/>
      <c r="K3" s="276"/>
      <c r="L3" s="276"/>
      <c r="M3" s="276"/>
      <c r="N3" s="276"/>
      <c r="O3" s="277"/>
    </row>
    <row r="4" spans="1:15" s="34" customFormat="1" ht="44.25" customHeight="1" x14ac:dyDescent="0.2">
      <c r="A4" s="272" t="s">
        <v>925</v>
      </c>
      <c r="B4" s="273"/>
      <c r="C4" s="273"/>
      <c r="D4" s="273"/>
      <c r="E4" s="273"/>
      <c r="F4" s="273"/>
      <c r="G4" s="273"/>
      <c r="H4" s="273"/>
      <c r="I4" s="273"/>
      <c r="J4" s="273"/>
      <c r="K4" s="273"/>
      <c r="L4" s="273"/>
      <c r="M4" s="273"/>
      <c r="N4" s="273"/>
      <c r="O4" s="274"/>
    </row>
    <row r="5" spans="1:15" s="34" customFormat="1" ht="8.1" customHeight="1" x14ac:dyDescent="0.2">
      <c r="A5" s="68"/>
      <c r="B5" s="53"/>
      <c r="C5" s="53"/>
      <c r="D5" s="53"/>
      <c r="E5" s="53"/>
      <c r="F5" s="53"/>
      <c r="G5" s="53"/>
      <c r="H5" s="53"/>
      <c r="I5" s="53"/>
      <c r="J5" s="53"/>
      <c r="K5" s="53"/>
      <c r="L5" s="53"/>
      <c r="M5" s="53"/>
      <c r="N5" s="53"/>
      <c r="O5" s="69"/>
    </row>
    <row r="6" spans="1:15" ht="13.5" customHeight="1" x14ac:dyDescent="0.25">
      <c r="A6" s="26"/>
      <c r="C6" s="282" t="s">
        <v>823</v>
      </c>
      <c r="D6" s="282"/>
      <c r="E6" s="282"/>
      <c r="F6" s="282"/>
      <c r="G6" s="282"/>
      <c r="H6" s="282"/>
      <c r="I6" s="282"/>
      <c r="J6" s="282"/>
      <c r="K6" s="282"/>
      <c r="L6" s="282"/>
      <c r="M6" s="113"/>
      <c r="N6" s="113"/>
      <c r="O6" s="114"/>
    </row>
    <row r="7" spans="1:15" ht="14.1" customHeight="1" x14ac:dyDescent="0.25">
      <c r="A7" s="95"/>
      <c r="D7" s="295" t="s">
        <v>888</v>
      </c>
      <c r="E7" s="296"/>
      <c r="F7" s="296"/>
      <c r="G7" s="296"/>
      <c r="H7" s="296"/>
      <c r="I7" s="297"/>
      <c r="J7" s="289">
        <v>788</v>
      </c>
      <c r="K7" s="290"/>
      <c r="O7" s="70"/>
    </row>
    <row r="8" spans="1:15" ht="14.1" customHeight="1" x14ac:dyDescent="0.2">
      <c r="A8" s="26"/>
      <c r="D8" s="283" t="s">
        <v>889</v>
      </c>
      <c r="E8" s="284"/>
      <c r="F8" s="284"/>
      <c r="G8" s="284"/>
      <c r="H8" s="284"/>
      <c r="I8" s="285"/>
      <c r="J8" s="291">
        <v>1949</v>
      </c>
      <c r="K8" s="292"/>
      <c r="L8" s="96"/>
      <c r="M8" s="96"/>
      <c r="N8" s="96"/>
      <c r="O8" s="97"/>
    </row>
    <row r="9" spans="1:15" ht="14.1" customHeight="1" x14ac:dyDescent="0.2">
      <c r="A9" s="26"/>
      <c r="D9" s="286" t="s">
        <v>826</v>
      </c>
      <c r="E9" s="287"/>
      <c r="F9" s="287"/>
      <c r="G9" s="287"/>
      <c r="H9" s="287"/>
      <c r="I9" s="288"/>
      <c r="J9" s="293">
        <f>SUM(I7:J8)</f>
        <v>2737</v>
      </c>
      <c r="K9" s="294"/>
      <c r="L9" s="96"/>
      <c r="M9" s="96"/>
      <c r="N9" s="96"/>
      <c r="O9" s="97"/>
    </row>
    <row r="10" spans="1:15" ht="8.1" customHeight="1" x14ac:dyDescent="0.2">
      <c r="A10" s="26"/>
      <c r="D10" s="122"/>
      <c r="E10" s="122"/>
      <c r="F10" s="122"/>
      <c r="G10" s="122"/>
      <c r="H10" s="122"/>
      <c r="I10" s="122"/>
      <c r="J10" s="123"/>
      <c r="K10" s="123"/>
      <c r="L10" s="96"/>
      <c r="M10" s="96"/>
      <c r="N10" s="96"/>
      <c r="O10" s="97"/>
    </row>
    <row r="11" spans="1:15" ht="14.1" customHeight="1" x14ac:dyDescent="0.2">
      <c r="A11" s="26"/>
      <c r="C11" s="302" t="s">
        <v>824</v>
      </c>
      <c r="D11" s="302"/>
      <c r="E11" s="302"/>
      <c r="F11" s="302"/>
      <c r="G11" s="302"/>
      <c r="H11" s="96"/>
      <c r="I11" s="96"/>
      <c r="J11" s="96"/>
      <c r="K11" s="96"/>
      <c r="L11" s="96"/>
      <c r="M11" s="96"/>
      <c r="N11" s="96"/>
      <c r="O11" s="97"/>
    </row>
    <row r="12" spans="1:15" ht="14.1" customHeight="1" x14ac:dyDescent="0.2">
      <c r="A12" s="26"/>
      <c r="D12" s="303" t="s">
        <v>884</v>
      </c>
      <c r="E12" s="304"/>
      <c r="F12" s="304"/>
      <c r="G12" s="304"/>
      <c r="H12" s="304"/>
      <c r="I12" s="304"/>
      <c r="J12" s="223">
        <v>1</v>
      </c>
      <c r="K12" s="224"/>
      <c r="L12" s="96"/>
      <c r="M12" s="96"/>
      <c r="N12" s="96"/>
      <c r="O12" s="97"/>
    </row>
    <row r="13" spans="1:15" ht="14.1" customHeight="1" x14ac:dyDescent="0.2">
      <c r="A13" s="26"/>
      <c r="D13" s="305" t="s">
        <v>890</v>
      </c>
      <c r="E13" s="306"/>
      <c r="F13" s="306"/>
      <c r="G13" s="306"/>
      <c r="H13" s="306"/>
      <c r="I13" s="306"/>
      <c r="J13" s="221">
        <v>209</v>
      </c>
      <c r="K13" s="222"/>
      <c r="L13" s="96"/>
      <c r="M13" s="96"/>
      <c r="N13" s="96"/>
      <c r="O13" s="97"/>
    </row>
    <row r="14" spans="1:15" ht="14.1" customHeight="1" x14ac:dyDescent="0.2">
      <c r="A14" s="26"/>
      <c r="D14" s="303" t="s">
        <v>891</v>
      </c>
      <c r="E14" s="304"/>
      <c r="F14" s="304"/>
      <c r="G14" s="304"/>
      <c r="H14" s="304"/>
      <c r="I14" s="304"/>
      <c r="J14" s="223">
        <v>2446</v>
      </c>
      <c r="K14" s="224"/>
      <c r="L14" s="96"/>
      <c r="M14" s="96"/>
      <c r="N14" s="96"/>
      <c r="O14" s="97"/>
    </row>
    <row r="15" spans="1:15" ht="14.1" customHeight="1" x14ac:dyDescent="0.2">
      <c r="A15" s="26"/>
      <c r="D15" s="305" t="s">
        <v>892</v>
      </c>
      <c r="E15" s="306"/>
      <c r="F15" s="306"/>
      <c r="G15" s="306"/>
      <c r="H15" s="306"/>
      <c r="I15" s="306"/>
      <c r="J15" s="221">
        <v>0</v>
      </c>
      <c r="K15" s="222"/>
      <c r="L15" s="96"/>
      <c r="M15" s="96"/>
      <c r="N15" s="96"/>
      <c r="O15" s="97"/>
    </row>
    <row r="16" spans="1:15" ht="14.1" customHeight="1" x14ac:dyDescent="0.2">
      <c r="A16" s="26"/>
      <c r="D16" s="303" t="s">
        <v>893</v>
      </c>
      <c r="E16" s="304"/>
      <c r="F16" s="304"/>
      <c r="G16" s="304"/>
      <c r="H16" s="304"/>
      <c r="I16" s="304"/>
      <c r="J16" s="223">
        <v>0</v>
      </c>
      <c r="K16" s="224"/>
      <c r="L16" s="96"/>
      <c r="M16" s="96"/>
      <c r="N16" s="96"/>
      <c r="O16" s="97"/>
    </row>
    <row r="17" spans="1:15" ht="8.1" customHeight="1" x14ac:dyDescent="0.2">
      <c r="A17" s="26"/>
      <c r="D17" s="122"/>
      <c r="E17" s="122"/>
      <c r="F17" s="122"/>
      <c r="G17" s="122"/>
      <c r="H17" s="122"/>
      <c r="I17" s="122"/>
      <c r="J17" s="123"/>
      <c r="K17" s="123"/>
      <c r="L17" s="96"/>
      <c r="M17" s="96"/>
      <c r="N17" s="96"/>
      <c r="O17" s="97"/>
    </row>
    <row r="18" spans="1:15" ht="14.1" customHeight="1" x14ac:dyDescent="0.2">
      <c r="A18" s="26"/>
      <c r="C18" s="302" t="s">
        <v>825</v>
      </c>
      <c r="D18" s="302"/>
      <c r="E18" s="302"/>
      <c r="F18" s="302"/>
      <c r="G18" s="302"/>
      <c r="H18" s="96"/>
      <c r="I18" s="96"/>
      <c r="J18" s="96"/>
      <c r="K18" s="96"/>
      <c r="L18" s="96"/>
      <c r="M18" s="96"/>
      <c r="N18" s="96"/>
      <c r="O18" s="97"/>
    </row>
    <row r="19" spans="1:15" ht="14.1" customHeight="1" x14ac:dyDescent="0.2">
      <c r="A19" s="26"/>
      <c r="D19" s="307" t="s">
        <v>894</v>
      </c>
      <c r="E19" s="308"/>
      <c r="F19" s="308"/>
      <c r="G19" s="308"/>
      <c r="H19" s="308"/>
      <c r="I19" s="308"/>
      <c r="J19" s="309">
        <v>1326</v>
      </c>
      <c r="K19" s="310"/>
      <c r="L19" s="96"/>
      <c r="M19" s="96"/>
      <c r="N19" s="96"/>
      <c r="O19" s="97"/>
    </row>
    <row r="20" spans="1:15" ht="14.1" customHeight="1" x14ac:dyDescent="0.2">
      <c r="A20" s="26"/>
      <c r="D20" s="311" t="s">
        <v>895</v>
      </c>
      <c r="E20" s="312"/>
      <c r="F20" s="312"/>
      <c r="G20" s="312"/>
      <c r="H20" s="312"/>
      <c r="I20" s="312"/>
      <c r="J20" s="313">
        <v>4</v>
      </c>
      <c r="K20" s="314"/>
      <c r="L20" s="96"/>
      <c r="M20" s="96"/>
      <c r="N20" s="96"/>
      <c r="O20" s="97"/>
    </row>
    <row r="21" spans="1:15" ht="14.1" customHeight="1" x14ac:dyDescent="0.2">
      <c r="A21" s="26"/>
      <c r="D21" s="307" t="s">
        <v>896</v>
      </c>
      <c r="E21" s="308"/>
      <c r="F21" s="308"/>
      <c r="G21" s="308"/>
      <c r="H21" s="308"/>
      <c r="I21" s="308"/>
      <c r="J21" s="309">
        <v>323</v>
      </c>
      <c r="K21" s="310"/>
      <c r="L21" s="96"/>
      <c r="M21" s="96"/>
      <c r="N21" s="96"/>
      <c r="O21" s="97"/>
    </row>
    <row r="22" spans="1:15" ht="14.1" customHeight="1" x14ac:dyDescent="0.2">
      <c r="A22" s="26"/>
      <c r="D22" s="311" t="s">
        <v>897</v>
      </c>
      <c r="E22" s="312"/>
      <c r="F22" s="312"/>
      <c r="G22" s="312"/>
      <c r="H22" s="312"/>
      <c r="I22" s="312"/>
      <c r="J22" s="313">
        <v>0</v>
      </c>
      <c r="K22" s="314"/>
      <c r="L22" s="96"/>
      <c r="M22" s="96"/>
      <c r="N22" s="96"/>
      <c r="O22" s="97"/>
    </row>
    <row r="23" spans="1:15" ht="14.1" customHeight="1" x14ac:dyDescent="0.2">
      <c r="A23" s="26"/>
      <c r="D23" s="307" t="s">
        <v>916</v>
      </c>
      <c r="E23" s="308"/>
      <c r="F23" s="308"/>
      <c r="G23" s="308"/>
      <c r="H23" s="308"/>
      <c r="I23" s="308"/>
      <c r="J23" s="309">
        <v>728</v>
      </c>
      <c r="K23" s="310"/>
      <c r="L23" s="96"/>
      <c r="M23" s="96"/>
      <c r="N23" s="96"/>
      <c r="O23" s="97"/>
    </row>
    <row r="24" spans="1:15" ht="14.1" customHeight="1" x14ac:dyDescent="0.2">
      <c r="A24" s="26"/>
      <c r="D24" s="311" t="s">
        <v>512</v>
      </c>
      <c r="E24" s="312"/>
      <c r="F24" s="312"/>
      <c r="G24" s="312"/>
      <c r="H24" s="312"/>
      <c r="I24" s="312"/>
      <c r="J24" s="313">
        <v>0</v>
      </c>
      <c r="K24" s="314"/>
      <c r="L24" s="96"/>
      <c r="M24" s="96"/>
      <c r="N24" s="96"/>
      <c r="O24" s="97"/>
    </row>
    <row r="25" spans="1:15" ht="14.1" customHeight="1" x14ac:dyDescent="0.25">
      <c r="A25" s="26"/>
      <c r="D25" s="307" t="s">
        <v>899</v>
      </c>
      <c r="E25" s="308"/>
      <c r="F25" s="308"/>
      <c r="G25" s="308"/>
      <c r="H25" s="308"/>
      <c r="I25" s="308"/>
      <c r="J25" s="309">
        <v>65</v>
      </c>
      <c r="K25" s="310"/>
      <c r="L25" s="96"/>
      <c r="M25" s="96"/>
      <c r="N25" s="96"/>
      <c r="O25" s="97"/>
    </row>
    <row r="26" spans="1:15" ht="14.1" customHeight="1" x14ac:dyDescent="0.2">
      <c r="A26" s="26"/>
      <c r="D26" s="318" t="s">
        <v>826</v>
      </c>
      <c r="E26" s="319"/>
      <c r="F26" s="319"/>
      <c r="G26" s="319"/>
      <c r="H26" s="319"/>
      <c r="I26" s="320"/>
      <c r="J26" s="225">
        <f>SUM(J19:K25)</f>
        <v>2446</v>
      </c>
      <c r="K26" s="226"/>
      <c r="L26" s="96"/>
      <c r="M26" s="96"/>
      <c r="N26" s="96"/>
      <c r="O26" s="97"/>
    </row>
    <row r="27" spans="1:15" ht="8.1" customHeight="1" x14ac:dyDescent="0.2">
      <c r="A27" s="26"/>
      <c r="E27" s="96"/>
      <c r="F27" s="96"/>
      <c r="G27" s="96"/>
      <c r="H27" s="96"/>
      <c r="I27" s="96"/>
      <c r="J27" s="96"/>
      <c r="K27" s="96"/>
      <c r="L27" s="96"/>
      <c r="M27" s="96"/>
      <c r="N27" s="96"/>
      <c r="O27" s="97"/>
    </row>
    <row r="28" spans="1:15" ht="14.1" customHeight="1" x14ac:dyDescent="0.25">
      <c r="A28" s="26"/>
      <c r="C28" s="315" t="s">
        <v>827</v>
      </c>
      <c r="D28" s="315"/>
      <c r="E28" s="315"/>
      <c r="F28" s="315"/>
      <c r="G28" s="315"/>
      <c r="H28" s="96"/>
      <c r="I28" s="96"/>
      <c r="J28" s="96"/>
      <c r="K28" s="96"/>
      <c r="L28" s="96"/>
      <c r="M28" s="96"/>
      <c r="N28" s="96"/>
      <c r="O28" s="97"/>
    </row>
    <row r="29" spans="1:15" ht="14.1" customHeight="1" x14ac:dyDescent="0.2">
      <c r="A29" s="26"/>
      <c r="C29" s="85"/>
      <c r="D29" s="316" t="s">
        <v>898</v>
      </c>
      <c r="E29" s="316"/>
      <c r="F29" s="316"/>
      <c r="G29" s="316"/>
      <c r="H29" s="316"/>
      <c r="I29" s="316"/>
      <c r="J29" s="317">
        <v>0</v>
      </c>
      <c r="K29" s="317"/>
      <c r="L29" s="96"/>
      <c r="M29" s="96"/>
      <c r="N29" s="96"/>
      <c r="O29" s="97"/>
    </row>
    <row r="30" spans="1:15" ht="8.1" customHeight="1" x14ac:dyDescent="0.2">
      <c r="A30" s="26"/>
      <c r="E30" s="96"/>
      <c r="F30" s="96"/>
      <c r="G30" s="96"/>
      <c r="H30" s="96"/>
      <c r="I30" s="96"/>
      <c r="J30" s="96"/>
      <c r="K30" s="96"/>
      <c r="L30" s="96"/>
      <c r="M30" s="96"/>
      <c r="N30" s="96"/>
      <c r="O30" s="97"/>
    </row>
    <row r="31" spans="1:15" ht="18" customHeight="1" x14ac:dyDescent="0.2">
      <c r="A31" s="26"/>
      <c r="C31" s="271" t="s">
        <v>851</v>
      </c>
      <c r="D31" s="298"/>
      <c r="E31" s="298"/>
      <c r="F31" s="298"/>
      <c r="G31" s="96"/>
      <c r="H31" s="96"/>
      <c r="I31" s="96"/>
      <c r="J31" s="96"/>
      <c r="K31" s="96"/>
      <c r="L31" s="96"/>
      <c r="M31" s="96"/>
      <c r="N31" s="96"/>
      <c r="O31" s="97"/>
    </row>
    <row r="32" spans="1:15" ht="13.5" customHeight="1" x14ac:dyDescent="0.2">
      <c r="A32" s="26"/>
      <c r="D32" s="269" t="s">
        <v>813</v>
      </c>
      <c r="E32" s="269"/>
      <c r="F32" s="269"/>
      <c r="G32" s="269"/>
      <c r="H32" s="269"/>
      <c r="I32" s="269"/>
      <c r="J32" s="300">
        <v>2389</v>
      </c>
      <c r="K32" s="301"/>
      <c r="L32" s="96"/>
      <c r="M32" s="96"/>
      <c r="N32" s="96"/>
      <c r="O32" s="97"/>
    </row>
    <row r="33" spans="1:15" ht="14.1" customHeight="1" x14ac:dyDescent="0.2">
      <c r="A33" s="26"/>
      <c r="D33" s="261" t="s">
        <v>814</v>
      </c>
      <c r="E33" s="262"/>
      <c r="F33" s="262"/>
      <c r="G33" s="262"/>
      <c r="H33" s="262"/>
      <c r="I33" s="299"/>
      <c r="J33" s="265">
        <v>348</v>
      </c>
      <c r="K33" s="266"/>
      <c r="L33" s="96"/>
      <c r="M33" s="96"/>
      <c r="N33" s="96"/>
      <c r="O33" s="97"/>
    </row>
    <row r="34" spans="1:15" ht="14.1" customHeight="1" x14ac:dyDescent="0.2">
      <c r="A34" s="26"/>
      <c r="D34" s="270" t="s">
        <v>826</v>
      </c>
      <c r="E34" s="270"/>
      <c r="F34" s="270"/>
      <c r="G34" s="270"/>
      <c r="H34" s="270"/>
      <c r="I34" s="270"/>
      <c r="J34" s="267">
        <f>SUM(J32:K33)</f>
        <v>2737</v>
      </c>
      <c r="K34" s="268"/>
      <c r="L34" s="96"/>
      <c r="M34" s="96"/>
      <c r="N34" s="96"/>
      <c r="O34" s="97"/>
    </row>
    <row r="35" spans="1:15" ht="8.1" customHeight="1" x14ac:dyDescent="0.2">
      <c r="A35" s="26"/>
      <c r="E35" s="96"/>
      <c r="F35" s="96"/>
      <c r="G35" s="96"/>
      <c r="H35" s="96"/>
      <c r="I35" s="96"/>
      <c r="J35" s="96"/>
      <c r="K35" s="96"/>
      <c r="L35" s="96"/>
      <c r="M35" s="96"/>
      <c r="N35" s="96"/>
      <c r="O35" s="97"/>
    </row>
    <row r="36" spans="1:15" ht="15.75" customHeight="1" x14ac:dyDescent="0.2">
      <c r="A36" s="26"/>
      <c r="C36" s="271" t="s">
        <v>850</v>
      </c>
      <c r="D36" s="271"/>
      <c r="E36" s="271"/>
      <c r="F36" s="271"/>
      <c r="G36" s="271"/>
      <c r="H36" s="96"/>
      <c r="I36" s="96"/>
      <c r="J36" s="96"/>
      <c r="K36" s="96"/>
      <c r="L36" s="96"/>
      <c r="M36" s="96"/>
      <c r="N36" s="96"/>
      <c r="O36" s="97"/>
    </row>
    <row r="37" spans="1:15" ht="14.1" customHeight="1" x14ac:dyDescent="0.2">
      <c r="A37" s="26"/>
      <c r="D37" s="263" t="s">
        <v>816</v>
      </c>
      <c r="E37" s="264"/>
      <c r="F37" s="264"/>
      <c r="G37" s="264"/>
      <c r="H37" s="264"/>
      <c r="I37" s="264"/>
      <c r="J37" s="223">
        <v>1646</v>
      </c>
      <c r="K37" s="224"/>
      <c r="L37" s="96"/>
      <c r="M37" s="96"/>
      <c r="N37" s="96"/>
      <c r="O37" s="97"/>
    </row>
    <row r="38" spans="1:15" ht="14.1" customHeight="1" x14ac:dyDescent="0.25">
      <c r="A38" s="95"/>
      <c r="D38" s="261" t="s">
        <v>817</v>
      </c>
      <c r="E38" s="262"/>
      <c r="F38" s="262"/>
      <c r="G38" s="262"/>
      <c r="H38" s="262"/>
      <c r="I38" s="262"/>
      <c r="J38" s="221">
        <v>71</v>
      </c>
      <c r="K38" s="222"/>
      <c r="L38" s="96"/>
      <c r="M38" s="96"/>
      <c r="N38" s="96"/>
      <c r="O38" s="97"/>
    </row>
    <row r="39" spans="1:15" ht="14.1" customHeight="1" x14ac:dyDescent="0.2">
      <c r="A39" s="26"/>
      <c r="B39" s="33"/>
      <c r="D39" s="263" t="s">
        <v>818</v>
      </c>
      <c r="E39" s="264"/>
      <c r="F39" s="264"/>
      <c r="G39" s="264"/>
      <c r="H39" s="264"/>
      <c r="I39" s="264"/>
      <c r="J39" s="223">
        <v>977</v>
      </c>
      <c r="K39" s="224"/>
      <c r="L39" s="96"/>
      <c r="M39" s="96"/>
      <c r="N39" s="96"/>
      <c r="O39" s="97"/>
    </row>
    <row r="40" spans="1:15" ht="14.1" customHeight="1" x14ac:dyDescent="0.2">
      <c r="A40" s="26"/>
      <c r="B40" s="33"/>
      <c r="D40" s="261" t="s">
        <v>819</v>
      </c>
      <c r="E40" s="262"/>
      <c r="F40" s="262"/>
      <c r="G40" s="262"/>
      <c r="H40" s="262"/>
      <c r="I40" s="262"/>
      <c r="J40" s="221">
        <v>15</v>
      </c>
      <c r="K40" s="222"/>
      <c r="L40" s="96"/>
      <c r="M40" s="96"/>
      <c r="N40" s="96"/>
      <c r="O40" s="97"/>
    </row>
    <row r="41" spans="1:15" ht="14.1" customHeight="1" x14ac:dyDescent="0.2">
      <c r="A41" s="26"/>
      <c r="B41" s="33"/>
      <c r="D41" s="263" t="s">
        <v>820</v>
      </c>
      <c r="E41" s="264"/>
      <c r="F41" s="264"/>
      <c r="G41" s="264"/>
      <c r="H41" s="264"/>
      <c r="I41" s="264"/>
      <c r="J41" s="223">
        <v>1</v>
      </c>
      <c r="K41" s="224"/>
      <c r="L41" s="96"/>
      <c r="M41" s="96"/>
      <c r="N41" s="96"/>
      <c r="O41" s="97"/>
    </row>
    <row r="42" spans="1:15" ht="14.1" customHeight="1" x14ac:dyDescent="0.2">
      <c r="A42" s="26"/>
      <c r="B42" s="33"/>
      <c r="D42" s="261" t="s">
        <v>821</v>
      </c>
      <c r="E42" s="262"/>
      <c r="F42" s="262"/>
      <c r="G42" s="262"/>
      <c r="H42" s="262"/>
      <c r="I42" s="262"/>
      <c r="J42" s="221">
        <v>0</v>
      </c>
      <c r="K42" s="222"/>
      <c r="L42" s="96"/>
      <c r="M42" s="96"/>
      <c r="N42" s="96"/>
      <c r="O42" s="97"/>
    </row>
    <row r="43" spans="1:15" ht="14.1" customHeight="1" x14ac:dyDescent="0.2">
      <c r="A43" s="26"/>
      <c r="B43" s="33"/>
      <c r="D43" s="263" t="s">
        <v>822</v>
      </c>
      <c r="E43" s="264"/>
      <c r="F43" s="264"/>
      <c r="G43" s="264"/>
      <c r="H43" s="264"/>
      <c r="I43" s="264"/>
      <c r="J43" s="223">
        <v>27</v>
      </c>
      <c r="K43" s="224"/>
      <c r="L43" s="96"/>
      <c r="M43" s="96"/>
      <c r="N43" s="96"/>
      <c r="O43" s="97"/>
    </row>
    <row r="44" spans="1:15" ht="14.1" customHeight="1" x14ac:dyDescent="0.2">
      <c r="A44" s="26"/>
      <c r="D44" s="259" t="s">
        <v>826</v>
      </c>
      <c r="E44" s="260"/>
      <c r="F44" s="260"/>
      <c r="G44" s="260"/>
      <c r="H44" s="260"/>
      <c r="I44" s="260"/>
      <c r="J44" s="225">
        <f>SUM(J37:K43)</f>
        <v>2737</v>
      </c>
      <c r="K44" s="226"/>
      <c r="L44" s="96"/>
      <c r="M44" s="96"/>
      <c r="N44" s="96"/>
      <c r="O44" s="97"/>
    </row>
    <row r="45" spans="1:15" ht="6.75" customHeight="1" x14ac:dyDescent="0.2">
      <c r="A45" s="44"/>
      <c r="B45" s="45"/>
      <c r="C45" s="116"/>
      <c r="D45" s="116"/>
      <c r="E45" s="117"/>
      <c r="F45" s="117"/>
      <c r="G45" s="137"/>
      <c r="H45" s="137"/>
      <c r="I45" s="137"/>
      <c r="J45" s="137"/>
      <c r="K45" s="137"/>
      <c r="L45" s="137"/>
      <c r="M45" s="137"/>
      <c r="N45" s="137"/>
      <c r="O45" s="138"/>
    </row>
    <row r="46" spans="1:15" ht="8.1" customHeight="1" x14ac:dyDescent="0.2">
      <c r="C46" s="85"/>
      <c r="D46" s="85"/>
      <c r="E46" s="115"/>
      <c r="F46" s="115"/>
      <c r="G46" s="96"/>
      <c r="H46" s="96"/>
      <c r="I46" s="96"/>
      <c r="J46" s="96"/>
      <c r="K46" s="96"/>
      <c r="L46" s="96"/>
      <c r="M46" s="96"/>
      <c r="N46" s="96"/>
      <c r="O46" s="96"/>
    </row>
    <row r="47" spans="1:15" ht="14.1" customHeight="1" x14ac:dyDescent="0.2">
      <c r="A47" s="2" t="s">
        <v>887</v>
      </c>
    </row>
    <row r="48" spans="1:15" ht="14.1" customHeight="1" x14ac:dyDescent="0.2">
      <c r="A48" s="233" t="s">
        <v>999</v>
      </c>
      <c r="B48" s="234"/>
      <c r="C48" s="234"/>
      <c r="D48" s="234"/>
      <c r="E48" s="234"/>
      <c r="F48" s="234"/>
      <c r="G48" s="234"/>
      <c r="H48" s="234"/>
      <c r="I48" s="234"/>
      <c r="J48" s="234"/>
      <c r="K48" s="234"/>
      <c r="L48" s="234"/>
      <c r="M48" s="234"/>
      <c r="N48" s="234"/>
      <c r="O48" s="235"/>
    </row>
    <row r="49" spans="1:15" ht="14.1" customHeight="1" x14ac:dyDescent="0.2">
      <c r="A49" s="236"/>
      <c r="B49" s="237"/>
      <c r="C49" s="237"/>
      <c r="D49" s="237"/>
      <c r="E49" s="237"/>
      <c r="F49" s="237"/>
      <c r="G49" s="237"/>
      <c r="H49" s="237"/>
      <c r="I49" s="237"/>
      <c r="J49" s="237"/>
      <c r="K49" s="237"/>
      <c r="L49" s="237"/>
      <c r="M49" s="237"/>
      <c r="N49" s="237"/>
      <c r="O49" s="238"/>
    </row>
    <row r="50" spans="1:15" ht="14.1" customHeight="1" x14ac:dyDescent="0.2">
      <c r="A50" s="236"/>
      <c r="B50" s="237"/>
      <c r="C50" s="237"/>
      <c r="D50" s="237"/>
      <c r="E50" s="237"/>
      <c r="F50" s="237"/>
      <c r="G50" s="237"/>
      <c r="H50" s="237"/>
      <c r="I50" s="237"/>
      <c r="J50" s="237"/>
      <c r="K50" s="237"/>
      <c r="L50" s="237"/>
      <c r="M50" s="237"/>
      <c r="N50" s="237"/>
      <c r="O50" s="238"/>
    </row>
    <row r="51" spans="1:15" ht="14.1" customHeight="1" x14ac:dyDescent="0.2">
      <c r="A51" s="236"/>
      <c r="B51" s="237"/>
      <c r="C51" s="237"/>
      <c r="D51" s="237"/>
      <c r="E51" s="237"/>
      <c r="F51" s="237"/>
      <c r="G51" s="237"/>
      <c r="H51" s="237"/>
      <c r="I51" s="237"/>
      <c r="J51" s="237"/>
      <c r="K51" s="237"/>
      <c r="L51" s="237"/>
      <c r="M51" s="237"/>
      <c r="N51" s="237"/>
      <c r="O51" s="238"/>
    </row>
    <row r="52" spans="1:15" ht="7.5" customHeight="1" x14ac:dyDescent="0.2">
      <c r="A52" s="236"/>
      <c r="B52" s="237"/>
      <c r="C52" s="237"/>
      <c r="D52" s="237"/>
      <c r="E52" s="237"/>
      <c r="F52" s="237"/>
      <c r="G52" s="237"/>
      <c r="H52" s="237"/>
      <c r="I52" s="237"/>
      <c r="J52" s="237"/>
      <c r="K52" s="237"/>
      <c r="L52" s="237"/>
      <c r="M52" s="237"/>
      <c r="N52" s="237"/>
      <c r="O52" s="238"/>
    </row>
    <row r="53" spans="1:15" ht="7.5" customHeight="1" x14ac:dyDescent="0.2">
      <c r="A53" s="236"/>
      <c r="B53" s="237"/>
      <c r="C53" s="237"/>
      <c r="D53" s="237"/>
      <c r="E53" s="237"/>
      <c r="F53" s="237"/>
      <c r="G53" s="237"/>
      <c r="H53" s="237"/>
      <c r="I53" s="237"/>
      <c r="J53" s="237"/>
      <c r="K53" s="237"/>
      <c r="L53" s="237"/>
      <c r="M53" s="237"/>
      <c r="N53" s="237"/>
      <c r="O53" s="238"/>
    </row>
    <row r="54" spans="1:15" ht="133.5" customHeight="1" x14ac:dyDescent="0.2">
      <c r="A54" s="239"/>
      <c r="B54" s="240"/>
      <c r="C54" s="240"/>
      <c r="D54" s="240"/>
      <c r="E54" s="240"/>
      <c r="F54" s="240"/>
      <c r="G54" s="240"/>
      <c r="H54" s="240"/>
      <c r="I54" s="240"/>
      <c r="J54" s="240"/>
      <c r="K54" s="240"/>
      <c r="L54" s="240"/>
      <c r="M54" s="240"/>
      <c r="N54" s="240"/>
      <c r="O54" s="241"/>
    </row>
    <row r="55" spans="1:15" ht="7.5" customHeight="1" x14ac:dyDescent="0.2">
      <c r="A55" s="160"/>
      <c r="B55" s="160"/>
      <c r="C55" s="160"/>
      <c r="D55" s="160"/>
      <c r="E55" s="160"/>
      <c r="F55" s="160"/>
      <c r="G55" s="160"/>
      <c r="H55" s="160"/>
      <c r="I55" s="160"/>
      <c r="J55" s="160"/>
      <c r="K55" s="160"/>
      <c r="L55" s="160"/>
      <c r="M55" s="160"/>
      <c r="N55" s="160"/>
      <c r="O55" s="160"/>
    </row>
    <row r="56" spans="1:15" s="2" customFormat="1" ht="18.600000000000001" customHeight="1" x14ac:dyDescent="0.25">
      <c r="A56" s="144" t="s">
        <v>900</v>
      </c>
      <c r="B56" s="145"/>
      <c r="C56" s="145"/>
      <c r="D56" s="145"/>
      <c r="E56" s="145"/>
      <c r="F56" s="146"/>
      <c r="G56" s="145"/>
      <c r="H56" s="145"/>
      <c r="I56" s="145"/>
      <c r="J56" s="145"/>
      <c r="K56" s="147"/>
      <c r="N56" s="148"/>
      <c r="O56" s="148"/>
    </row>
    <row r="57" spans="1:15"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18" activePane="bottomLeft" state="frozen"/>
      <selection pane="bottomLeft" activeCell="P24" sqref="P23:Q24"/>
    </sheetView>
  </sheetViews>
  <sheetFormatPr defaultColWidth="8.85546875" defaultRowHeight="12.75" x14ac:dyDescent="0.2"/>
  <cols>
    <col min="1" max="1" width="10.140625" customWidth="1"/>
    <col min="9" max="9" width="11" customWidth="1"/>
  </cols>
  <sheetData>
    <row r="1" spans="1:9" ht="15.75" x14ac:dyDescent="0.2">
      <c r="A1" s="321" t="s">
        <v>842</v>
      </c>
      <c r="B1" s="322"/>
      <c r="C1" s="322"/>
      <c r="D1" s="322"/>
      <c r="E1" s="322"/>
      <c r="F1" s="322"/>
      <c r="G1" s="247" t="str">
        <f>'CONTACT INFORMATION'!$A$24</f>
        <v>Los Angeles</v>
      </c>
      <c r="H1" s="247"/>
      <c r="I1" s="248"/>
    </row>
    <row r="2" spans="1:9" ht="14.1" customHeight="1" x14ac:dyDescent="0.2">
      <c r="A2" s="128"/>
      <c r="B2" s="128"/>
      <c r="C2" s="128"/>
      <c r="D2" s="128"/>
      <c r="E2" s="128"/>
      <c r="F2" s="128"/>
      <c r="G2" s="129"/>
      <c r="H2" s="129"/>
      <c r="I2" s="129"/>
    </row>
    <row r="3" spans="1:9" s="130" customFormat="1" ht="14.25" x14ac:dyDescent="0.2">
      <c r="A3" s="275" t="s">
        <v>926</v>
      </c>
      <c r="B3" s="276"/>
      <c r="C3" s="276"/>
      <c r="D3" s="276"/>
      <c r="E3" s="276"/>
      <c r="F3" s="276"/>
      <c r="G3" s="276"/>
      <c r="H3" s="276"/>
      <c r="I3" s="277"/>
    </row>
    <row r="4" spans="1:9" s="130" customFormat="1" ht="15" thickBot="1" x14ac:dyDescent="0.25">
      <c r="A4" s="329" t="s">
        <v>882</v>
      </c>
      <c r="B4" s="330"/>
      <c r="C4" s="330"/>
      <c r="D4" s="330"/>
      <c r="E4" s="330"/>
      <c r="F4" s="330"/>
      <c r="G4" s="330"/>
      <c r="H4" s="330"/>
      <c r="I4" s="331"/>
    </row>
    <row r="5" spans="1:9" s="150" customFormat="1" ht="21" customHeight="1" thickBot="1" x14ac:dyDescent="0.3">
      <c r="A5" s="332" t="s">
        <v>919</v>
      </c>
      <c r="B5" s="333"/>
      <c r="C5" s="333"/>
      <c r="D5" s="333"/>
      <c r="E5" s="333"/>
      <c r="F5" s="333"/>
      <c r="G5" s="333"/>
      <c r="H5" s="333"/>
      <c r="I5" s="334"/>
    </row>
    <row r="6" spans="1:9" ht="14.25" x14ac:dyDescent="0.2">
      <c r="A6" s="72"/>
      <c r="B6" s="33"/>
      <c r="C6" s="121"/>
      <c r="D6" s="121"/>
      <c r="E6" s="121"/>
      <c r="F6" s="121"/>
      <c r="G6" s="136"/>
      <c r="H6" s="136"/>
      <c r="I6" s="139"/>
    </row>
    <row r="7" spans="1:9" ht="14.25" x14ac:dyDescent="0.2">
      <c r="A7" s="72"/>
      <c r="B7" s="33"/>
      <c r="C7" s="121"/>
      <c r="D7" s="121"/>
      <c r="E7" s="121"/>
      <c r="F7" s="121"/>
      <c r="G7" s="136"/>
      <c r="H7" s="136"/>
      <c r="I7" s="139"/>
    </row>
    <row r="8" spans="1:9" ht="15" x14ac:dyDescent="0.2">
      <c r="A8" s="72"/>
      <c r="B8" s="282" t="s">
        <v>869</v>
      </c>
      <c r="C8" s="282"/>
      <c r="D8" s="140"/>
      <c r="E8" s="335"/>
      <c r="F8" s="335"/>
      <c r="G8" s="335"/>
      <c r="H8" s="136"/>
      <c r="I8" s="139"/>
    </row>
    <row r="9" spans="1:9" ht="15" x14ac:dyDescent="0.2">
      <c r="A9" s="72"/>
      <c r="B9" s="156"/>
      <c r="C9" s="327" t="s">
        <v>870</v>
      </c>
      <c r="D9" s="327"/>
      <c r="E9" s="327"/>
      <c r="F9" s="327"/>
      <c r="G9" s="317">
        <v>2096</v>
      </c>
      <c r="H9" s="317"/>
      <c r="I9" s="139"/>
    </row>
    <row r="10" spans="1:9" ht="15" x14ac:dyDescent="0.2">
      <c r="A10" s="72"/>
      <c r="B10" s="156"/>
      <c r="C10" s="328" t="s">
        <v>871</v>
      </c>
      <c r="D10" s="328"/>
      <c r="E10" s="328"/>
      <c r="F10" s="328"/>
      <c r="G10" s="326">
        <v>658</v>
      </c>
      <c r="H10" s="326"/>
      <c r="I10" s="139"/>
    </row>
    <row r="11" spans="1:9" ht="15" x14ac:dyDescent="0.2">
      <c r="A11" s="72"/>
      <c r="B11" s="156"/>
      <c r="C11" s="327" t="s">
        <v>872</v>
      </c>
      <c r="D11" s="327"/>
      <c r="E11" s="327"/>
      <c r="F11" s="327"/>
      <c r="G11" s="317">
        <v>2</v>
      </c>
      <c r="H11" s="317"/>
      <c r="I11" s="139"/>
    </row>
    <row r="12" spans="1:9" ht="15" x14ac:dyDescent="0.25">
      <c r="A12" s="72"/>
      <c r="B12" s="33"/>
      <c r="C12" s="231" t="s">
        <v>826</v>
      </c>
      <c r="D12" s="231"/>
      <c r="E12" s="231"/>
      <c r="F12" s="231"/>
      <c r="G12" s="323">
        <f>SUM(G9:H11)</f>
        <v>2756</v>
      </c>
      <c r="H12" s="323"/>
      <c r="I12" s="139"/>
    </row>
    <row r="13" spans="1:9" ht="14.25" x14ac:dyDescent="0.2">
      <c r="A13" s="72"/>
      <c r="B13" s="33"/>
      <c r="C13" s="121"/>
      <c r="D13" s="121"/>
      <c r="E13" s="121"/>
      <c r="F13" s="121"/>
      <c r="G13" s="136"/>
      <c r="H13" s="136"/>
      <c r="I13" s="139"/>
    </row>
    <row r="14" spans="1:9" ht="14.25" x14ac:dyDescent="0.2">
      <c r="A14" s="26"/>
      <c r="C14" s="103"/>
      <c r="D14" s="103"/>
      <c r="E14" s="103"/>
      <c r="F14" s="103"/>
      <c r="G14" s="73"/>
      <c r="H14" s="73"/>
      <c r="I14" s="74"/>
    </row>
    <row r="15" spans="1:9" ht="15" x14ac:dyDescent="0.25">
      <c r="A15" s="126"/>
      <c r="B15" s="324" t="s">
        <v>873</v>
      </c>
      <c r="C15" s="324"/>
      <c r="D15" s="324"/>
      <c r="E15" s="324"/>
      <c r="F15" s="324"/>
      <c r="G15" s="324"/>
      <c r="H15" s="324"/>
      <c r="I15" s="325"/>
    </row>
    <row r="16" spans="1:9" ht="14.25" x14ac:dyDescent="0.2">
      <c r="A16" s="26"/>
      <c r="C16" s="230" t="s">
        <v>813</v>
      </c>
      <c r="D16" s="230"/>
      <c r="E16" s="230"/>
      <c r="F16" s="230"/>
      <c r="G16" s="317">
        <v>2389</v>
      </c>
      <c r="H16" s="317"/>
      <c r="I16" s="74"/>
    </row>
    <row r="17" spans="1:9" ht="14.25" x14ac:dyDescent="0.2">
      <c r="A17" s="26"/>
      <c r="C17" s="229" t="s">
        <v>814</v>
      </c>
      <c r="D17" s="229"/>
      <c r="E17" s="229"/>
      <c r="F17" s="229"/>
      <c r="G17" s="326">
        <v>348</v>
      </c>
      <c r="H17" s="326"/>
      <c r="I17" s="74"/>
    </row>
    <row r="18" spans="1:9" ht="15" x14ac:dyDescent="0.25">
      <c r="A18" s="26"/>
      <c r="C18" s="231" t="s">
        <v>826</v>
      </c>
      <c r="D18" s="231"/>
      <c r="E18" s="231"/>
      <c r="F18" s="231"/>
      <c r="G18" s="336">
        <f>SUM(G16:H17)</f>
        <v>2737</v>
      </c>
      <c r="H18" s="336"/>
      <c r="I18" s="74"/>
    </row>
    <row r="19" spans="1:9" ht="15" x14ac:dyDescent="0.25">
      <c r="A19" s="26"/>
      <c r="C19" s="125"/>
      <c r="D19" s="125"/>
      <c r="E19" s="125"/>
      <c r="F19" s="125"/>
      <c r="G19" s="96"/>
      <c r="H19" s="96"/>
      <c r="I19" s="74"/>
    </row>
    <row r="20" spans="1:9" x14ac:dyDescent="0.2">
      <c r="A20" s="26"/>
      <c r="C20" s="73"/>
      <c r="D20" s="73"/>
      <c r="E20" s="73"/>
      <c r="F20" s="73"/>
      <c r="G20" s="73"/>
      <c r="H20" s="73"/>
      <c r="I20" s="74"/>
    </row>
    <row r="21" spans="1:9" ht="15" x14ac:dyDescent="0.2">
      <c r="A21" s="126"/>
      <c r="B21" s="154" t="s">
        <v>849</v>
      </c>
      <c r="C21" s="154"/>
      <c r="D21" s="154"/>
      <c r="E21" s="154"/>
      <c r="F21" s="154"/>
      <c r="G21" s="154"/>
      <c r="H21" s="154"/>
      <c r="I21" s="127"/>
    </row>
    <row r="22" spans="1:9" ht="14.25" x14ac:dyDescent="0.2">
      <c r="A22" s="26"/>
      <c r="C22" s="230" t="s">
        <v>818</v>
      </c>
      <c r="D22" s="230"/>
      <c r="E22" s="230"/>
      <c r="F22" s="230"/>
      <c r="G22" s="317">
        <v>977</v>
      </c>
      <c r="H22" s="317"/>
      <c r="I22" s="74"/>
    </row>
    <row r="23" spans="1:9" ht="14.25" x14ac:dyDescent="0.2">
      <c r="A23" s="26"/>
      <c r="C23" s="229" t="s">
        <v>817</v>
      </c>
      <c r="D23" s="229"/>
      <c r="E23" s="229"/>
      <c r="F23" s="229"/>
      <c r="G23" s="326">
        <v>71</v>
      </c>
      <c r="H23" s="326"/>
      <c r="I23" s="74"/>
    </row>
    <row r="24" spans="1:9" ht="14.25" x14ac:dyDescent="0.2">
      <c r="A24" s="26"/>
      <c r="C24" s="230" t="s">
        <v>816</v>
      </c>
      <c r="D24" s="230"/>
      <c r="E24" s="230"/>
      <c r="F24" s="230"/>
      <c r="G24" s="317">
        <v>1646</v>
      </c>
      <c r="H24" s="317"/>
      <c r="I24" s="74"/>
    </row>
    <row r="25" spans="1:9" ht="14.25" x14ac:dyDescent="0.2">
      <c r="A25" s="26"/>
      <c r="C25" s="229" t="s">
        <v>512</v>
      </c>
      <c r="D25" s="229"/>
      <c r="E25" s="229"/>
      <c r="F25" s="229"/>
      <c r="G25" s="326">
        <v>43</v>
      </c>
      <c r="H25" s="326"/>
      <c r="I25" s="74"/>
    </row>
    <row r="26" spans="1:9" ht="15" x14ac:dyDescent="0.25">
      <c r="A26" s="26"/>
      <c r="C26" s="231" t="s">
        <v>826</v>
      </c>
      <c r="D26" s="231"/>
      <c r="E26" s="231"/>
      <c r="F26" s="231"/>
      <c r="G26" s="336">
        <f>SUM(G22:H25)</f>
        <v>2737</v>
      </c>
      <c r="H26" s="336"/>
      <c r="I26" s="106"/>
    </row>
    <row r="27" spans="1:9" x14ac:dyDescent="0.2">
      <c r="A27" s="26"/>
      <c r="D27" s="100"/>
      <c r="E27" s="100"/>
      <c r="F27" s="100"/>
      <c r="G27" s="100"/>
      <c r="H27" s="100"/>
      <c r="I27" s="106"/>
    </row>
    <row r="28" spans="1:9" x14ac:dyDescent="0.2">
      <c r="A28" s="26"/>
      <c r="D28" s="100"/>
      <c r="E28" s="100"/>
      <c r="F28" s="100"/>
      <c r="G28" s="100"/>
      <c r="H28" s="100"/>
      <c r="I28" s="106"/>
    </row>
    <row r="29" spans="1:9" x14ac:dyDescent="0.2">
      <c r="A29" s="44"/>
      <c r="B29" s="45"/>
      <c r="C29" s="45"/>
      <c r="D29" s="108"/>
      <c r="E29" s="108"/>
      <c r="F29" s="108"/>
      <c r="G29" s="108"/>
      <c r="H29" s="108"/>
      <c r="I29" s="109"/>
    </row>
    <row r="30" spans="1:9" x14ac:dyDescent="0.2">
      <c r="D30" s="100"/>
      <c r="E30" s="100"/>
      <c r="F30" s="100"/>
      <c r="G30" s="100"/>
      <c r="H30" s="100"/>
      <c r="I30" s="100"/>
    </row>
    <row r="31" spans="1:9" ht="14.45" customHeight="1" x14ac:dyDescent="0.2"/>
    <row r="32" spans="1:9" ht="14.1" customHeight="1" x14ac:dyDescent="0.2">
      <c r="A32" s="2" t="s">
        <v>887</v>
      </c>
    </row>
    <row r="33" spans="1:9" x14ac:dyDescent="0.2">
      <c r="A33" s="233" t="s">
        <v>1000</v>
      </c>
      <c r="B33" s="234"/>
      <c r="C33" s="234"/>
      <c r="D33" s="234"/>
      <c r="E33" s="234"/>
      <c r="F33" s="234"/>
      <c r="G33" s="234"/>
      <c r="H33" s="234"/>
      <c r="I33" s="235"/>
    </row>
    <row r="34" spans="1:9" x14ac:dyDescent="0.2">
      <c r="A34" s="236"/>
      <c r="B34" s="237"/>
      <c r="C34" s="237"/>
      <c r="D34" s="237"/>
      <c r="E34" s="237"/>
      <c r="F34" s="237"/>
      <c r="G34" s="237"/>
      <c r="H34" s="237"/>
      <c r="I34" s="238"/>
    </row>
    <row r="35" spans="1:9" x14ac:dyDescent="0.2">
      <c r="A35" s="236"/>
      <c r="B35" s="237"/>
      <c r="C35" s="237"/>
      <c r="D35" s="237"/>
      <c r="E35" s="237"/>
      <c r="F35" s="237"/>
      <c r="G35" s="237"/>
      <c r="H35" s="237"/>
      <c r="I35" s="238"/>
    </row>
    <row r="36" spans="1:9" x14ac:dyDescent="0.2">
      <c r="A36" s="236"/>
      <c r="B36" s="237"/>
      <c r="C36" s="237"/>
      <c r="D36" s="237"/>
      <c r="E36" s="237"/>
      <c r="F36" s="237"/>
      <c r="G36" s="237"/>
      <c r="H36" s="237"/>
      <c r="I36" s="238"/>
    </row>
    <row r="37" spans="1:9" x14ac:dyDescent="0.2">
      <c r="A37" s="236"/>
      <c r="B37" s="237"/>
      <c r="C37" s="237"/>
      <c r="D37" s="237"/>
      <c r="E37" s="237"/>
      <c r="F37" s="237"/>
      <c r="G37" s="237"/>
      <c r="H37" s="237"/>
      <c r="I37" s="238"/>
    </row>
    <row r="38" spans="1:9" x14ac:dyDescent="0.2">
      <c r="A38" s="236"/>
      <c r="B38" s="237"/>
      <c r="C38" s="237"/>
      <c r="D38" s="237"/>
      <c r="E38" s="237"/>
      <c r="F38" s="237"/>
      <c r="G38" s="237"/>
      <c r="H38" s="237"/>
      <c r="I38" s="238"/>
    </row>
    <row r="39" spans="1:9" x14ac:dyDescent="0.2">
      <c r="A39" s="236"/>
      <c r="B39" s="237"/>
      <c r="C39" s="237"/>
      <c r="D39" s="237"/>
      <c r="E39" s="237"/>
      <c r="F39" s="237"/>
      <c r="G39" s="237"/>
      <c r="H39" s="237"/>
      <c r="I39" s="238"/>
    </row>
    <row r="40" spans="1:9" x14ac:dyDescent="0.2">
      <c r="A40" s="236"/>
      <c r="B40" s="237"/>
      <c r="C40" s="237"/>
      <c r="D40" s="237"/>
      <c r="E40" s="237"/>
      <c r="F40" s="237"/>
      <c r="G40" s="237"/>
      <c r="H40" s="237"/>
      <c r="I40" s="238"/>
    </row>
    <row r="41" spans="1:9" x14ac:dyDescent="0.2">
      <c r="A41" s="236"/>
      <c r="B41" s="237"/>
      <c r="C41" s="237"/>
      <c r="D41" s="237"/>
      <c r="E41" s="237"/>
      <c r="F41" s="237"/>
      <c r="G41" s="237"/>
      <c r="H41" s="237"/>
      <c r="I41" s="238"/>
    </row>
    <row r="42" spans="1:9" x14ac:dyDescent="0.2">
      <c r="A42" s="236"/>
      <c r="B42" s="237"/>
      <c r="C42" s="237"/>
      <c r="D42" s="237"/>
      <c r="E42" s="237"/>
      <c r="F42" s="237"/>
      <c r="G42" s="237"/>
      <c r="H42" s="237"/>
      <c r="I42" s="238"/>
    </row>
    <row r="43" spans="1:9" x14ac:dyDescent="0.2">
      <c r="A43" s="236"/>
      <c r="B43" s="237"/>
      <c r="C43" s="237"/>
      <c r="D43" s="237"/>
      <c r="E43" s="237"/>
      <c r="F43" s="237"/>
      <c r="G43" s="237"/>
      <c r="H43" s="237"/>
      <c r="I43" s="238"/>
    </row>
    <row r="44" spans="1:9" x14ac:dyDescent="0.2">
      <c r="A44" s="236"/>
      <c r="B44" s="237"/>
      <c r="C44" s="237"/>
      <c r="D44" s="237"/>
      <c r="E44" s="237"/>
      <c r="F44" s="237"/>
      <c r="G44" s="237"/>
      <c r="H44" s="237"/>
      <c r="I44" s="238"/>
    </row>
    <row r="45" spans="1:9" x14ac:dyDescent="0.2">
      <c r="A45" s="236"/>
      <c r="B45" s="237"/>
      <c r="C45" s="237"/>
      <c r="D45" s="237"/>
      <c r="E45" s="237"/>
      <c r="F45" s="237"/>
      <c r="G45" s="237"/>
      <c r="H45" s="237"/>
      <c r="I45" s="238"/>
    </row>
    <row r="46" spans="1:9" x14ac:dyDescent="0.2">
      <c r="A46" s="236"/>
      <c r="B46" s="237"/>
      <c r="C46" s="237"/>
      <c r="D46" s="237"/>
      <c r="E46" s="237"/>
      <c r="F46" s="237"/>
      <c r="G46" s="237"/>
      <c r="H46" s="237"/>
      <c r="I46" s="238"/>
    </row>
    <row r="47" spans="1:9" x14ac:dyDescent="0.2">
      <c r="A47" s="236"/>
      <c r="B47" s="237"/>
      <c r="C47" s="237"/>
      <c r="D47" s="237"/>
      <c r="E47" s="237"/>
      <c r="F47" s="237"/>
      <c r="G47" s="237"/>
      <c r="H47" s="237"/>
      <c r="I47" s="238"/>
    </row>
    <row r="48" spans="1:9" x14ac:dyDescent="0.2">
      <c r="A48" s="236"/>
      <c r="B48" s="237"/>
      <c r="C48" s="237"/>
      <c r="D48" s="237"/>
      <c r="E48" s="237"/>
      <c r="F48" s="237"/>
      <c r="G48" s="237"/>
      <c r="H48" s="237"/>
      <c r="I48" s="238"/>
    </row>
    <row r="49" spans="1:9" x14ac:dyDescent="0.2">
      <c r="A49" s="236"/>
      <c r="B49" s="237"/>
      <c r="C49" s="237"/>
      <c r="D49" s="237"/>
      <c r="E49" s="237"/>
      <c r="F49" s="237"/>
      <c r="G49" s="237"/>
      <c r="H49" s="237"/>
      <c r="I49" s="238"/>
    </row>
    <row r="50" spans="1:9" x14ac:dyDescent="0.2">
      <c r="A50" s="239"/>
      <c r="B50" s="240"/>
      <c r="C50" s="240"/>
      <c r="D50" s="240"/>
      <c r="E50" s="240"/>
      <c r="F50" s="240"/>
      <c r="G50" s="240"/>
      <c r="H50" s="240"/>
      <c r="I50" s="241"/>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sheetData>
    <row r="1" spans="1:15" ht="15.75" x14ac:dyDescent="0.25">
      <c r="A1" s="280" t="s">
        <v>845</v>
      </c>
      <c r="B1" s="281"/>
      <c r="C1" s="281"/>
      <c r="D1" s="281"/>
      <c r="E1" s="281"/>
      <c r="F1" s="281"/>
      <c r="G1" s="281"/>
      <c r="H1" s="278" t="str">
        <f>'CONTACT INFORMATION'!$A$24</f>
        <v>Los Angeles</v>
      </c>
      <c r="I1" s="278"/>
      <c r="J1" s="279"/>
      <c r="K1" s="120"/>
      <c r="L1" s="2"/>
    </row>
    <row r="2" spans="1:15" ht="7.5" customHeight="1" x14ac:dyDescent="0.25">
      <c r="A2" s="43"/>
      <c r="B2" s="43"/>
      <c r="C2" s="43"/>
      <c r="D2" s="43"/>
      <c r="E2" s="43"/>
      <c r="F2" s="43"/>
      <c r="G2" s="43"/>
      <c r="H2" s="43"/>
      <c r="I2" s="43"/>
      <c r="J2" s="43"/>
      <c r="K2" s="2"/>
      <c r="L2" s="2"/>
    </row>
    <row r="3" spans="1:15" ht="15" x14ac:dyDescent="0.25">
      <c r="A3" s="346" t="s">
        <v>883</v>
      </c>
      <c r="B3" s="347"/>
      <c r="C3" s="347"/>
      <c r="D3" s="347"/>
      <c r="E3" s="347"/>
      <c r="F3" s="347"/>
      <c r="G3" s="347"/>
      <c r="H3" s="347"/>
      <c r="I3" s="347"/>
      <c r="J3" s="348"/>
    </row>
    <row r="4" spans="1:15" ht="15" x14ac:dyDescent="0.25">
      <c r="A4" s="162"/>
      <c r="B4" s="141"/>
      <c r="C4" s="141"/>
      <c r="D4" s="141"/>
      <c r="E4" s="141"/>
      <c r="F4" s="141"/>
      <c r="G4" s="141"/>
      <c r="H4" s="141"/>
      <c r="I4" s="141"/>
      <c r="J4" s="142"/>
    </row>
    <row r="5" spans="1:15" ht="15" customHeight="1" x14ac:dyDescent="0.2">
      <c r="A5" s="349" t="s">
        <v>836</v>
      </c>
      <c r="B5" s="350"/>
      <c r="C5" s="350"/>
      <c r="D5" s="350"/>
      <c r="E5" s="350"/>
      <c r="F5" s="350"/>
      <c r="G5" s="350"/>
      <c r="H5" s="350"/>
      <c r="I5" s="350"/>
      <c r="J5" s="351"/>
    </row>
    <row r="6" spans="1:15" ht="15" customHeight="1" x14ac:dyDescent="0.2">
      <c r="A6" s="352"/>
      <c r="B6" s="353"/>
      <c r="C6" s="353"/>
      <c r="D6" s="353"/>
      <c r="E6" s="353"/>
      <c r="F6" s="353"/>
      <c r="G6" s="353"/>
      <c r="H6" s="353"/>
      <c r="I6" s="353"/>
      <c r="J6" s="354"/>
    </row>
    <row r="7" spans="1:15" ht="15" customHeight="1" x14ac:dyDescent="0.2">
      <c r="A7" s="355"/>
      <c r="B7" s="356"/>
      <c r="C7" s="356"/>
      <c r="D7" s="356"/>
      <c r="E7" s="356"/>
      <c r="F7" s="356"/>
      <c r="G7" s="356"/>
      <c r="H7" s="356"/>
      <c r="I7" s="356"/>
      <c r="J7" s="357"/>
    </row>
    <row r="8" spans="1:15" ht="15" customHeight="1" x14ac:dyDescent="0.2">
      <c r="A8" s="337" t="s">
        <v>977</v>
      </c>
      <c r="B8" s="338"/>
      <c r="C8" s="338"/>
      <c r="D8" s="338"/>
      <c r="E8" s="338"/>
      <c r="F8" s="338"/>
      <c r="G8" s="338"/>
      <c r="H8" s="338"/>
      <c r="I8" s="338"/>
      <c r="J8" s="339"/>
      <c r="O8" s="160"/>
    </row>
    <row r="9" spans="1:15" ht="15" customHeight="1" x14ac:dyDescent="0.2">
      <c r="A9" s="340"/>
      <c r="B9" s="341"/>
      <c r="C9" s="341"/>
      <c r="D9" s="341"/>
      <c r="E9" s="341"/>
      <c r="F9" s="341"/>
      <c r="G9" s="341"/>
      <c r="H9" s="341"/>
      <c r="I9" s="341"/>
      <c r="J9" s="342"/>
    </row>
    <row r="10" spans="1:15" ht="14.25" customHeight="1" x14ac:dyDescent="0.2">
      <c r="A10" s="340"/>
      <c r="B10" s="341"/>
      <c r="C10" s="341"/>
      <c r="D10" s="341"/>
      <c r="E10" s="341"/>
      <c r="F10" s="341"/>
      <c r="G10" s="341"/>
      <c r="H10" s="341"/>
      <c r="I10" s="341"/>
      <c r="J10" s="342"/>
    </row>
    <row r="11" spans="1:15" x14ac:dyDescent="0.2">
      <c r="A11" s="340"/>
      <c r="B11" s="341"/>
      <c r="C11" s="341"/>
      <c r="D11" s="341"/>
      <c r="E11" s="341"/>
      <c r="F11" s="341"/>
      <c r="G11" s="341"/>
      <c r="H11" s="341"/>
      <c r="I11" s="341"/>
      <c r="J11" s="342"/>
    </row>
    <row r="12" spans="1:15" x14ac:dyDescent="0.2">
      <c r="A12" s="340"/>
      <c r="B12" s="341"/>
      <c r="C12" s="341"/>
      <c r="D12" s="341"/>
      <c r="E12" s="341"/>
      <c r="F12" s="341"/>
      <c r="G12" s="341"/>
      <c r="H12" s="341"/>
      <c r="I12" s="341"/>
      <c r="J12" s="342"/>
    </row>
    <row r="13" spans="1:15" x14ac:dyDescent="0.2">
      <c r="A13" s="340"/>
      <c r="B13" s="341"/>
      <c r="C13" s="341"/>
      <c r="D13" s="341"/>
      <c r="E13" s="341"/>
      <c r="F13" s="341"/>
      <c r="G13" s="341"/>
      <c r="H13" s="341"/>
      <c r="I13" s="341"/>
      <c r="J13" s="342"/>
    </row>
    <row r="14" spans="1:15" x14ac:dyDescent="0.2">
      <c r="A14" s="340"/>
      <c r="B14" s="341"/>
      <c r="C14" s="341"/>
      <c r="D14" s="341"/>
      <c r="E14" s="341"/>
      <c r="F14" s="341"/>
      <c r="G14" s="341"/>
      <c r="H14" s="341"/>
      <c r="I14" s="341"/>
      <c r="J14" s="342"/>
    </row>
    <row r="15" spans="1:15" x14ac:dyDescent="0.2">
      <c r="A15" s="340"/>
      <c r="B15" s="341"/>
      <c r="C15" s="341"/>
      <c r="D15" s="341"/>
      <c r="E15" s="341"/>
      <c r="F15" s="341"/>
      <c r="G15" s="341"/>
      <c r="H15" s="341"/>
      <c r="I15" s="341"/>
      <c r="J15" s="342"/>
    </row>
    <row r="16" spans="1:15" x14ac:dyDescent="0.2">
      <c r="A16" s="340"/>
      <c r="B16" s="341"/>
      <c r="C16" s="341"/>
      <c r="D16" s="341"/>
      <c r="E16" s="341"/>
      <c r="F16" s="341"/>
      <c r="G16" s="341"/>
      <c r="H16" s="341"/>
      <c r="I16" s="341"/>
      <c r="J16" s="342"/>
    </row>
    <row r="17" spans="1:10" x14ac:dyDescent="0.2">
      <c r="A17" s="340"/>
      <c r="B17" s="341"/>
      <c r="C17" s="341"/>
      <c r="D17" s="341"/>
      <c r="E17" s="341"/>
      <c r="F17" s="341"/>
      <c r="G17" s="341"/>
      <c r="H17" s="341"/>
      <c r="I17" s="341"/>
      <c r="J17" s="342"/>
    </row>
    <row r="18" spans="1:10" x14ac:dyDescent="0.2">
      <c r="A18" s="340"/>
      <c r="B18" s="341"/>
      <c r="C18" s="341"/>
      <c r="D18" s="341"/>
      <c r="E18" s="341"/>
      <c r="F18" s="341"/>
      <c r="G18" s="341"/>
      <c r="H18" s="341"/>
      <c r="I18" s="341"/>
      <c r="J18" s="342"/>
    </row>
    <row r="19" spans="1:10" x14ac:dyDescent="0.2">
      <c r="A19" s="340"/>
      <c r="B19" s="341"/>
      <c r="C19" s="341"/>
      <c r="D19" s="341"/>
      <c r="E19" s="341"/>
      <c r="F19" s="341"/>
      <c r="G19" s="341"/>
      <c r="H19" s="341"/>
      <c r="I19" s="341"/>
      <c r="J19" s="342"/>
    </row>
    <row r="20" spans="1:10" x14ac:dyDescent="0.2">
      <c r="A20" s="340"/>
      <c r="B20" s="341"/>
      <c r="C20" s="341"/>
      <c r="D20" s="341"/>
      <c r="E20" s="341"/>
      <c r="F20" s="341"/>
      <c r="G20" s="341"/>
      <c r="H20" s="341"/>
      <c r="I20" s="341"/>
      <c r="J20" s="342"/>
    </row>
    <row r="21" spans="1:10" x14ac:dyDescent="0.2">
      <c r="A21" s="340"/>
      <c r="B21" s="341"/>
      <c r="C21" s="341"/>
      <c r="D21" s="341"/>
      <c r="E21" s="341"/>
      <c r="F21" s="341"/>
      <c r="G21" s="341"/>
      <c r="H21" s="341"/>
      <c r="I21" s="341"/>
      <c r="J21" s="342"/>
    </row>
    <row r="22" spans="1:10" x14ac:dyDescent="0.2">
      <c r="A22" s="340"/>
      <c r="B22" s="341"/>
      <c r="C22" s="341"/>
      <c r="D22" s="341"/>
      <c r="E22" s="341"/>
      <c r="F22" s="341"/>
      <c r="G22" s="341"/>
      <c r="H22" s="341"/>
      <c r="I22" s="341"/>
      <c r="J22" s="342"/>
    </row>
    <row r="23" spans="1:10" x14ac:dyDescent="0.2">
      <c r="A23" s="340"/>
      <c r="B23" s="341"/>
      <c r="C23" s="341"/>
      <c r="D23" s="341"/>
      <c r="E23" s="341"/>
      <c r="F23" s="341"/>
      <c r="G23" s="341"/>
      <c r="H23" s="341"/>
      <c r="I23" s="341"/>
      <c r="J23" s="342"/>
    </row>
    <row r="24" spans="1:10" x14ac:dyDescent="0.2">
      <c r="A24" s="340"/>
      <c r="B24" s="341"/>
      <c r="C24" s="341"/>
      <c r="D24" s="341"/>
      <c r="E24" s="341"/>
      <c r="F24" s="341"/>
      <c r="G24" s="341"/>
      <c r="H24" s="341"/>
      <c r="I24" s="341"/>
      <c r="J24" s="342"/>
    </row>
    <row r="25" spans="1:10" x14ac:dyDescent="0.2">
      <c r="A25" s="340"/>
      <c r="B25" s="341"/>
      <c r="C25" s="341"/>
      <c r="D25" s="341"/>
      <c r="E25" s="341"/>
      <c r="F25" s="341"/>
      <c r="G25" s="341"/>
      <c r="H25" s="341"/>
      <c r="I25" s="341"/>
      <c r="J25" s="342"/>
    </row>
    <row r="26" spans="1:10" x14ac:dyDescent="0.2">
      <c r="A26" s="340"/>
      <c r="B26" s="341"/>
      <c r="C26" s="341"/>
      <c r="D26" s="341"/>
      <c r="E26" s="341"/>
      <c r="F26" s="341"/>
      <c r="G26" s="341"/>
      <c r="H26" s="341"/>
      <c r="I26" s="341"/>
      <c r="J26" s="342"/>
    </row>
    <row r="27" spans="1:10" x14ac:dyDescent="0.2">
      <c r="A27" s="340"/>
      <c r="B27" s="341"/>
      <c r="C27" s="341"/>
      <c r="D27" s="341"/>
      <c r="E27" s="341"/>
      <c r="F27" s="341"/>
      <c r="G27" s="341"/>
      <c r="H27" s="341"/>
      <c r="I27" s="341"/>
      <c r="J27" s="342"/>
    </row>
    <row r="28" spans="1:10" x14ac:dyDescent="0.2">
      <c r="A28" s="340"/>
      <c r="B28" s="341"/>
      <c r="C28" s="341"/>
      <c r="D28" s="341"/>
      <c r="E28" s="341"/>
      <c r="F28" s="341"/>
      <c r="G28" s="341"/>
      <c r="H28" s="341"/>
      <c r="I28" s="341"/>
      <c r="J28" s="342"/>
    </row>
    <row r="29" spans="1:10" x14ac:dyDescent="0.2">
      <c r="A29" s="340"/>
      <c r="B29" s="341"/>
      <c r="C29" s="341"/>
      <c r="D29" s="341"/>
      <c r="E29" s="341"/>
      <c r="F29" s="341"/>
      <c r="G29" s="341"/>
      <c r="H29" s="341"/>
      <c r="I29" s="341"/>
      <c r="J29" s="342"/>
    </row>
    <row r="30" spans="1:10" x14ac:dyDescent="0.2">
      <c r="A30" s="340"/>
      <c r="B30" s="341"/>
      <c r="C30" s="341"/>
      <c r="D30" s="341"/>
      <c r="E30" s="341"/>
      <c r="F30" s="341"/>
      <c r="G30" s="341"/>
      <c r="H30" s="341"/>
      <c r="I30" s="341"/>
      <c r="J30" s="342"/>
    </row>
    <row r="31" spans="1:10" x14ac:dyDescent="0.2">
      <c r="A31" s="340"/>
      <c r="B31" s="341"/>
      <c r="C31" s="341"/>
      <c r="D31" s="341"/>
      <c r="E31" s="341"/>
      <c r="F31" s="341"/>
      <c r="G31" s="341"/>
      <c r="H31" s="341"/>
      <c r="I31" s="341"/>
      <c r="J31" s="342"/>
    </row>
    <row r="32" spans="1:10" x14ac:dyDescent="0.2">
      <c r="A32" s="340"/>
      <c r="B32" s="341"/>
      <c r="C32" s="341"/>
      <c r="D32" s="341"/>
      <c r="E32" s="341"/>
      <c r="F32" s="341"/>
      <c r="G32" s="341"/>
      <c r="H32" s="341"/>
      <c r="I32" s="341"/>
      <c r="J32" s="342"/>
    </row>
    <row r="33" spans="1:10" x14ac:dyDescent="0.2">
      <c r="A33" s="340"/>
      <c r="B33" s="341"/>
      <c r="C33" s="341"/>
      <c r="D33" s="341"/>
      <c r="E33" s="341"/>
      <c r="F33" s="341"/>
      <c r="G33" s="341"/>
      <c r="H33" s="341"/>
      <c r="I33" s="341"/>
      <c r="J33" s="342"/>
    </row>
    <row r="34" spans="1:10" x14ac:dyDescent="0.2">
      <c r="A34" s="340"/>
      <c r="B34" s="341"/>
      <c r="C34" s="341"/>
      <c r="D34" s="341"/>
      <c r="E34" s="341"/>
      <c r="F34" s="341"/>
      <c r="G34" s="341"/>
      <c r="H34" s="341"/>
      <c r="I34" s="341"/>
      <c r="J34" s="342"/>
    </row>
    <row r="35" spans="1:10" x14ac:dyDescent="0.2">
      <c r="A35" s="340"/>
      <c r="B35" s="341"/>
      <c r="C35" s="341"/>
      <c r="D35" s="341"/>
      <c r="E35" s="341"/>
      <c r="F35" s="341"/>
      <c r="G35" s="341"/>
      <c r="H35" s="341"/>
      <c r="I35" s="341"/>
      <c r="J35" s="342"/>
    </row>
    <row r="36" spans="1:10" x14ac:dyDescent="0.2">
      <c r="A36" s="340"/>
      <c r="B36" s="341"/>
      <c r="C36" s="341"/>
      <c r="D36" s="341"/>
      <c r="E36" s="341"/>
      <c r="F36" s="341"/>
      <c r="G36" s="341"/>
      <c r="H36" s="341"/>
      <c r="I36" s="341"/>
      <c r="J36" s="342"/>
    </row>
    <row r="37" spans="1:10" x14ac:dyDescent="0.2">
      <c r="A37" s="340"/>
      <c r="B37" s="341"/>
      <c r="C37" s="341"/>
      <c r="D37" s="341"/>
      <c r="E37" s="341"/>
      <c r="F37" s="341"/>
      <c r="G37" s="341"/>
      <c r="H37" s="341"/>
      <c r="I37" s="341"/>
      <c r="J37" s="342"/>
    </row>
    <row r="38" spans="1:10" x14ac:dyDescent="0.2">
      <c r="A38" s="340"/>
      <c r="B38" s="341"/>
      <c r="C38" s="341"/>
      <c r="D38" s="341"/>
      <c r="E38" s="341"/>
      <c r="F38" s="341"/>
      <c r="G38" s="341"/>
      <c r="H38" s="341"/>
      <c r="I38" s="341"/>
      <c r="J38" s="342"/>
    </row>
    <row r="39" spans="1:10" x14ac:dyDescent="0.2">
      <c r="A39" s="340"/>
      <c r="B39" s="341"/>
      <c r="C39" s="341"/>
      <c r="D39" s="341"/>
      <c r="E39" s="341"/>
      <c r="F39" s="341"/>
      <c r="G39" s="341"/>
      <c r="H39" s="341"/>
      <c r="I39" s="341"/>
      <c r="J39" s="342"/>
    </row>
    <row r="40" spans="1:10" x14ac:dyDescent="0.2">
      <c r="A40" s="340"/>
      <c r="B40" s="341"/>
      <c r="C40" s="341"/>
      <c r="D40" s="341"/>
      <c r="E40" s="341"/>
      <c r="F40" s="341"/>
      <c r="G40" s="341"/>
      <c r="H40" s="341"/>
      <c r="I40" s="341"/>
      <c r="J40" s="342"/>
    </row>
    <row r="41" spans="1:10" x14ac:dyDescent="0.2">
      <c r="A41" s="340"/>
      <c r="B41" s="341"/>
      <c r="C41" s="341"/>
      <c r="D41" s="341"/>
      <c r="E41" s="341"/>
      <c r="F41" s="341"/>
      <c r="G41" s="341"/>
      <c r="H41" s="341"/>
      <c r="I41" s="341"/>
      <c r="J41" s="342"/>
    </row>
    <row r="42" spans="1:10" x14ac:dyDescent="0.2">
      <c r="A42" s="340"/>
      <c r="B42" s="341"/>
      <c r="C42" s="341"/>
      <c r="D42" s="341"/>
      <c r="E42" s="341"/>
      <c r="F42" s="341"/>
      <c r="G42" s="341"/>
      <c r="H42" s="341"/>
      <c r="I42" s="341"/>
      <c r="J42" s="342"/>
    </row>
    <row r="43" spans="1:10" x14ac:dyDescent="0.2">
      <c r="A43" s="340"/>
      <c r="B43" s="341"/>
      <c r="C43" s="341"/>
      <c r="D43" s="341"/>
      <c r="E43" s="341"/>
      <c r="F43" s="341"/>
      <c r="G43" s="341"/>
      <c r="H43" s="341"/>
      <c r="I43" s="341"/>
      <c r="J43" s="342"/>
    </row>
    <row r="44" spans="1:10" x14ac:dyDescent="0.2">
      <c r="A44" s="340"/>
      <c r="B44" s="341"/>
      <c r="C44" s="341"/>
      <c r="D44" s="341"/>
      <c r="E44" s="341"/>
      <c r="F44" s="341"/>
      <c r="G44" s="341"/>
      <c r="H44" s="341"/>
      <c r="I44" s="341"/>
      <c r="J44" s="342"/>
    </row>
    <row r="45" spans="1:10" x14ac:dyDescent="0.2">
      <c r="A45" s="340"/>
      <c r="B45" s="341"/>
      <c r="C45" s="341"/>
      <c r="D45" s="341"/>
      <c r="E45" s="341"/>
      <c r="F45" s="341"/>
      <c r="G45" s="341"/>
      <c r="H45" s="341"/>
      <c r="I45" s="341"/>
      <c r="J45" s="342"/>
    </row>
    <row r="46" spans="1:10" x14ac:dyDescent="0.2">
      <c r="A46" s="340"/>
      <c r="B46" s="341"/>
      <c r="C46" s="341"/>
      <c r="D46" s="341"/>
      <c r="E46" s="341"/>
      <c r="F46" s="341"/>
      <c r="G46" s="341"/>
      <c r="H46" s="341"/>
      <c r="I46" s="341"/>
      <c r="J46" s="342"/>
    </row>
    <row r="47" spans="1:10" x14ac:dyDescent="0.2">
      <c r="A47" s="340"/>
      <c r="B47" s="341"/>
      <c r="C47" s="341"/>
      <c r="D47" s="341"/>
      <c r="E47" s="341"/>
      <c r="F47" s="341"/>
      <c r="G47" s="341"/>
      <c r="H47" s="341"/>
      <c r="I47" s="341"/>
      <c r="J47" s="342"/>
    </row>
    <row r="48" spans="1:10" x14ac:dyDescent="0.2">
      <c r="A48" s="340"/>
      <c r="B48" s="341"/>
      <c r="C48" s="341"/>
      <c r="D48" s="341"/>
      <c r="E48" s="341"/>
      <c r="F48" s="341"/>
      <c r="G48" s="341"/>
      <c r="H48" s="341"/>
      <c r="I48" s="341"/>
      <c r="J48" s="342"/>
    </row>
    <row r="49" spans="1:10" x14ac:dyDescent="0.2">
      <c r="A49" s="340"/>
      <c r="B49" s="341"/>
      <c r="C49" s="341"/>
      <c r="D49" s="341"/>
      <c r="E49" s="341"/>
      <c r="F49" s="341"/>
      <c r="G49" s="341"/>
      <c r="H49" s="341"/>
      <c r="I49" s="341"/>
      <c r="J49" s="342"/>
    </row>
    <row r="50" spans="1:10" x14ac:dyDescent="0.2">
      <c r="A50" s="340"/>
      <c r="B50" s="341"/>
      <c r="C50" s="341"/>
      <c r="D50" s="341"/>
      <c r="E50" s="341"/>
      <c r="F50" s="341"/>
      <c r="G50" s="341"/>
      <c r="H50" s="341"/>
      <c r="I50" s="341"/>
      <c r="J50" s="342"/>
    </row>
    <row r="51" spans="1:10" x14ac:dyDescent="0.2">
      <c r="A51" s="340"/>
      <c r="B51" s="341"/>
      <c r="C51" s="341"/>
      <c r="D51" s="341"/>
      <c r="E51" s="341"/>
      <c r="F51" s="341"/>
      <c r="G51" s="341"/>
      <c r="H51" s="341"/>
      <c r="I51" s="341"/>
      <c r="J51" s="342"/>
    </row>
    <row r="52" spans="1:10" x14ac:dyDescent="0.2">
      <c r="A52" s="340"/>
      <c r="B52" s="341"/>
      <c r="C52" s="341"/>
      <c r="D52" s="341"/>
      <c r="E52" s="341"/>
      <c r="F52" s="341"/>
      <c r="G52" s="341"/>
      <c r="H52" s="341"/>
      <c r="I52" s="341"/>
      <c r="J52" s="342"/>
    </row>
    <row r="53" spans="1:10" x14ac:dyDescent="0.2">
      <c r="A53" s="340"/>
      <c r="B53" s="341"/>
      <c r="C53" s="341"/>
      <c r="D53" s="341"/>
      <c r="E53" s="341"/>
      <c r="F53" s="341"/>
      <c r="G53" s="341"/>
      <c r="H53" s="341"/>
      <c r="I53" s="341"/>
      <c r="J53" s="342"/>
    </row>
    <row r="54" spans="1:10" x14ac:dyDescent="0.2">
      <c r="A54" s="340"/>
      <c r="B54" s="341"/>
      <c r="C54" s="341"/>
      <c r="D54" s="341"/>
      <c r="E54" s="341"/>
      <c r="F54" s="341"/>
      <c r="G54" s="341"/>
      <c r="H54" s="341"/>
      <c r="I54" s="341"/>
      <c r="J54" s="342"/>
    </row>
    <row r="55" spans="1:10" x14ac:dyDescent="0.2">
      <c r="A55" s="340"/>
      <c r="B55" s="341"/>
      <c r="C55" s="341"/>
      <c r="D55" s="341"/>
      <c r="E55" s="341"/>
      <c r="F55" s="341"/>
      <c r="G55" s="341"/>
      <c r="H55" s="341"/>
      <c r="I55" s="341"/>
      <c r="J55" s="342"/>
    </row>
    <row r="56" spans="1:10" x14ac:dyDescent="0.2">
      <c r="A56" s="343"/>
      <c r="B56" s="344"/>
      <c r="C56" s="344"/>
      <c r="D56" s="344"/>
      <c r="E56" s="344"/>
      <c r="F56" s="344"/>
      <c r="G56" s="344"/>
      <c r="H56" s="344"/>
      <c r="I56" s="344"/>
      <c r="J56" s="345"/>
    </row>
    <row r="87" spans="1:10" ht="13.5" customHeight="1" x14ac:dyDescent="0.2"/>
    <row r="88" spans="1:10" ht="0.75" hidden="1" customHeight="1" x14ac:dyDescent="0.2">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982"/>
  <sheetViews>
    <sheetView showGridLines="0" zoomScale="90" zoomScaleNormal="90" workbookViewId="0">
      <selection activeCell="A832" sqref="A832:J866"/>
    </sheetView>
  </sheetViews>
  <sheetFormatPr defaultColWidth="8.85546875" defaultRowHeight="12.75" x14ac:dyDescent="0.2"/>
  <cols>
    <col min="1" max="1" width="10.42578125" customWidth="1"/>
    <col min="6" max="6" width="8" customWidth="1"/>
    <col min="10" max="10" width="12.7109375" customWidth="1"/>
    <col min="13" max="13" width="9.140625" customWidth="1"/>
  </cols>
  <sheetData>
    <row r="1" spans="1:10" ht="15.75" customHeight="1" x14ac:dyDescent="0.25">
      <c r="A1" s="280" t="s">
        <v>847</v>
      </c>
      <c r="B1" s="281"/>
      <c r="C1" s="281"/>
      <c r="D1" s="281"/>
      <c r="E1" s="281"/>
      <c r="F1" s="281"/>
      <c r="G1" s="281"/>
      <c r="H1" s="278" t="str">
        <f>'CONTACT INFORMATION'!$A$24</f>
        <v>Los Angeles</v>
      </c>
      <c r="I1" s="278"/>
      <c r="J1" s="279"/>
    </row>
    <row r="2" spans="1:10" ht="9" customHeight="1" x14ac:dyDescent="0.2"/>
    <row r="3" spans="1:10" ht="12" customHeight="1" x14ac:dyDescent="0.2">
      <c r="A3" s="425" t="s">
        <v>913</v>
      </c>
      <c r="B3" s="425"/>
      <c r="C3" s="425"/>
      <c r="D3" s="425"/>
      <c r="E3" s="425"/>
      <c r="F3" s="425"/>
      <c r="G3" s="425"/>
      <c r="H3" s="425"/>
      <c r="I3" s="425"/>
      <c r="J3" s="425"/>
    </row>
    <row r="4" spans="1:10" ht="14.1" customHeight="1" x14ac:dyDescent="0.2">
      <c r="A4" s="425"/>
      <c r="B4" s="425"/>
      <c r="C4" s="425"/>
      <c r="D4" s="425"/>
      <c r="E4" s="425"/>
      <c r="F4" s="425"/>
      <c r="G4" s="425"/>
      <c r="H4" s="425"/>
      <c r="I4" s="425"/>
      <c r="J4" s="425"/>
    </row>
    <row r="5" spans="1:10" ht="14.1" customHeight="1" x14ac:dyDescent="0.2">
      <c r="A5" s="425"/>
      <c r="B5" s="425"/>
      <c r="C5" s="425"/>
      <c r="D5" s="425"/>
      <c r="E5" s="425"/>
      <c r="F5" s="425"/>
      <c r="G5" s="425"/>
      <c r="H5" s="425"/>
      <c r="I5" s="425"/>
      <c r="J5" s="425"/>
    </row>
    <row r="6" spans="1:10" ht="14.1" customHeight="1" x14ac:dyDescent="0.2">
      <c r="A6" s="425"/>
      <c r="B6" s="425"/>
      <c r="C6" s="425"/>
      <c r="D6" s="425"/>
      <c r="E6" s="425"/>
      <c r="F6" s="425"/>
      <c r="G6" s="425"/>
      <c r="H6" s="425"/>
      <c r="I6" s="425"/>
      <c r="J6" s="425"/>
    </row>
    <row r="7" spans="1:10" ht="9" customHeight="1" x14ac:dyDescent="0.2">
      <c r="A7" s="425"/>
      <c r="B7" s="425"/>
      <c r="C7" s="425"/>
      <c r="D7" s="425"/>
      <c r="E7" s="425"/>
      <c r="F7" s="425"/>
      <c r="G7" s="425"/>
      <c r="H7" s="425"/>
      <c r="I7" s="425"/>
      <c r="J7" s="425"/>
    </row>
    <row r="8" spans="1:10" ht="10.5" customHeight="1" x14ac:dyDescent="0.2"/>
    <row r="9" spans="1:10" ht="14.1" customHeight="1" x14ac:dyDescent="0.2">
      <c r="A9" s="172" t="s">
        <v>835</v>
      </c>
      <c r="B9" s="172"/>
      <c r="C9" s="172"/>
      <c r="D9" s="172"/>
      <c r="E9" s="172"/>
      <c r="F9" s="172"/>
      <c r="G9" s="172"/>
      <c r="H9" s="172"/>
      <c r="I9" s="172"/>
      <c r="J9" s="172"/>
    </row>
    <row r="10" spans="1:10" ht="14.1" customHeight="1" x14ac:dyDescent="0.2">
      <c r="A10" s="172"/>
      <c r="B10" s="172"/>
      <c r="C10" s="172"/>
      <c r="D10" s="172"/>
      <c r="E10" s="172"/>
      <c r="F10" s="172"/>
      <c r="G10" s="172"/>
      <c r="H10" s="172"/>
      <c r="I10" s="172"/>
      <c r="J10" s="172"/>
    </row>
    <row r="11" spans="1:10" ht="14.1" customHeight="1" x14ac:dyDescent="0.2">
      <c r="A11" s="172"/>
      <c r="B11" s="172"/>
      <c r="C11" s="172"/>
      <c r="D11" s="172"/>
      <c r="E11" s="172"/>
      <c r="F11" s="172"/>
      <c r="G11" s="172"/>
      <c r="H11" s="172"/>
      <c r="I11" s="172"/>
      <c r="J11" s="172"/>
    </row>
    <row r="12" spans="1:10" ht="12.75" customHeight="1" x14ac:dyDescent="0.2">
      <c r="A12" s="94"/>
      <c r="B12" s="94"/>
      <c r="C12" s="94"/>
      <c r="D12" s="94"/>
      <c r="E12" s="94"/>
      <c r="F12" s="94"/>
      <c r="G12" s="94"/>
      <c r="H12" s="94"/>
      <c r="I12" s="94"/>
      <c r="J12" s="94"/>
    </row>
    <row r="13" spans="1:10" ht="15" x14ac:dyDescent="0.25">
      <c r="A13" s="426" t="s">
        <v>464</v>
      </c>
      <c r="B13" s="426"/>
      <c r="C13" s="426"/>
      <c r="D13" s="426"/>
      <c r="E13" s="426"/>
      <c r="F13" s="426"/>
      <c r="G13" s="426"/>
      <c r="H13" s="426"/>
      <c r="I13" s="426"/>
      <c r="J13" s="426"/>
    </row>
    <row r="14" spans="1:10" ht="18" customHeight="1" thickBot="1" x14ac:dyDescent="0.25">
      <c r="A14" s="37"/>
      <c r="B14" s="38" t="s">
        <v>466</v>
      </c>
      <c r="C14" s="422" t="s">
        <v>467</v>
      </c>
      <c r="D14" s="422"/>
      <c r="E14" s="422"/>
      <c r="F14" s="39"/>
      <c r="G14" s="38" t="s">
        <v>466</v>
      </c>
      <c r="H14" s="422" t="s">
        <v>467</v>
      </c>
      <c r="I14" s="422"/>
      <c r="J14" s="422"/>
    </row>
    <row r="15" spans="1:10" ht="12" customHeight="1" x14ac:dyDescent="0.2">
      <c r="A15" s="40" t="s">
        <v>465</v>
      </c>
      <c r="B15" s="41">
        <v>1</v>
      </c>
      <c r="C15" s="1" t="s">
        <v>468</v>
      </c>
      <c r="F15" s="1"/>
      <c r="G15" s="41">
        <v>5</v>
      </c>
      <c r="H15" s="1" t="s">
        <v>472</v>
      </c>
      <c r="I15" s="1"/>
      <c r="J15" s="1"/>
    </row>
    <row r="16" spans="1:10" ht="12" customHeight="1" x14ac:dyDescent="0.2">
      <c r="A16" s="1"/>
      <c r="B16" s="41">
        <v>2</v>
      </c>
      <c r="C16" s="1" t="s">
        <v>469</v>
      </c>
      <c r="F16" s="1"/>
      <c r="G16" s="41">
        <v>6</v>
      </c>
      <c r="H16" s="1" t="s">
        <v>473</v>
      </c>
      <c r="I16" s="1"/>
      <c r="J16" s="1"/>
    </row>
    <row r="17" spans="1:10" ht="12" customHeight="1" x14ac:dyDescent="0.2">
      <c r="A17" s="1"/>
      <c r="B17" s="41">
        <v>3</v>
      </c>
      <c r="C17" s="1" t="s">
        <v>470</v>
      </c>
      <c r="F17" s="1"/>
      <c r="G17" s="41">
        <v>7</v>
      </c>
      <c r="H17" s="1" t="s">
        <v>474</v>
      </c>
      <c r="I17" s="1"/>
      <c r="J17" s="1"/>
    </row>
    <row r="18" spans="1:10" ht="12" customHeight="1" x14ac:dyDescent="0.2">
      <c r="A18" s="1"/>
      <c r="B18" s="41">
        <v>4</v>
      </c>
      <c r="C18" s="1" t="s">
        <v>471</v>
      </c>
      <c r="F18" s="1"/>
      <c r="G18" s="1"/>
      <c r="H18" s="1"/>
      <c r="I18" s="1"/>
      <c r="J18" s="1"/>
    </row>
    <row r="19" spans="1:10" ht="10.5" customHeight="1" x14ac:dyDescent="0.2">
      <c r="A19" s="1"/>
      <c r="B19" s="41"/>
      <c r="C19" s="1"/>
      <c r="F19" s="1"/>
      <c r="G19" s="1"/>
      <c r="H19" s="1"/>
      <c r="I19" s="1"/>
      <c r="J19" s="1"/>
    </row>
    <row r="20" spans="1:10" ht="12" customHeight="1" thickBot="1" x14ac:dyDescent="0.25">
      <c r="A20" s="37"/>
      <c r="B20" s="38" t="s">
        <v>466</v>
      </c>
      <c r="C20" s="422" t="s">
        <v>467</v>
      </c>
      <c r="D20" s="422"/>
      <c r="E20" s="422"/>
      <c r="F20" s="39"/>
      <c r="G20" s="38" t="s">
        <v>466</v>
      </c>
      <c r="H20" s="422" t="s">
        <v>467</v>
      </c>
      <c r="I20" s="422"/>
      <c r="J20" s="422"/>
    </row>
    <row r="21" spans="1:10" ht="12" customHeight="1" x14ac:dyDescent="0.2">
      <c r="A21" s="40" t="s">
        <v>514</v>
      </c>
      <c r="B21" s="41">
        <v>8</v>
      </c>
      <c r="C21" s="1" t="s">
        <v>536</v>
      </c>
      <c r="F21" s="1"/>
      <c r="G21" s="41">
        <v>26</v>
      </c>
      <c r="H21" s="1" t="s">
        <v>838</v>
      </c>
      <c r="I21" s="1"/>
      <c r="J21" s="1"/>
    </row>
    <row r="22" spans="1:10" ht="12" customHeight="1" x14ac:dyDescent="0.2">
      <c r="A22" s="40" t="s">
        <v>515</v>
      </c>
      <c r="B22" s="41">
        <v>9</v>
      </c>
      <c r="C22" s="1" t="s">
        <v>475</v>
      </c>
      <c r="F22" s="1"/>
      <c r="G22" s="41"/>
      <c r="H22" s="1" t="s">
        <v>837</v>
      </c>
      <c r="I22" s="1"/>
      <c r="J22" s="1"/>
    </row>
    <row r="23" spans="1:10" ht="12" customHeight="1" x14ac:dyDescent="0.2">
      <c r="B23" s="41">
        <v>10</v>
      </c>
      <c r="C23" s="1" t="s">
        <v>476</v>
      </c>
      <c r="F23" s="1"/>
      <c r="G23" s="41">
        <v>27</v>
      </c>
      <c r="H23" s="1" t="s">
        <v>493</v>
      </c>
      <c r="I23" s="1"/>
      <c r="J23" s="1"/>
    </row>
    <row r="24" spans="1:10" ht="12" customHeight="1" x14ac:dyDescent="0.2">
      <c r="A24" s="1"/>
      <c r="B24" s="41">
        <v>11</v>
      </c>
      <c r="C24" s="1" t="s">
        <v>477</v>
      </c>
      <c r="F24" s="1"/>
      <c r="G24" s="41">
        <v>28</v>
      </c>
      <c r="H24" s="1" t="s">
        <v>494</v>
      </c>
      <c r="I24" s="1"/>
      <c r="J24" s="1"/>
    </row>
    <row r="25" spans="1:10" ht="12" customHeight="1" x14ac:dyDescent="0.2">
      <c r="A25" s="1"/>
      <c r="B25" s="41">
        <v>12</v>
      </c>
      <c r="C25" s="1" t="s">
        <v>478</v>
      </c>
      <c r="F25" s="1"/>
      <c r="G25" s="41">
        <v>29</v>
      </c>
      <c r="H25" s="1" t="s">
        <v>495</v>
      </c>
      <c r="I25" s="1"/>
      <c r="J25" s="1"/>
    </row>
    <row r="26" spans="1:10" ht="12" customHeight="1" x14ac:dyDescent="0.2">
      <c r="A26" s="1"/>
      <c r="B26" s="41">
        <v>13</v>
      </c>
      <c r="C26" s="1" t="s">
        <v>479</v>
      </c>
      <c r="F26" s="1"/>
      <c r="G26" s="41">
        <v>30</v>
      </c>
      <c r="H26" s="1" t="s">
        <v>496</v>
      </c>
      <c r="I26" s="1"/>
      <c r="J26" s="1"/>
    </row>
    <row r="27" spans="1:10" ht="12" customHeight="1" x14ac:dyDescent="0.2">
      <c r="A27" s="1"/>
      <c r="B27" s="41">
        <v>14</v>
      </c>
      <c r="C27" s="1" t="s">
        <v>480</v>
      </c>
      <c r="F27" s="1"/>
      <c r="G27" s="41">
        <v>31</v>
      </c>
      <c r="H27" s="1" t="s">
        <v>497</v>
      </c>
      <c r="I27" s="1"/>
      <c r="J27" s="1"/>
    </row>
    <row r="28" spans="1:10" ht="12" customHeight="1" x14ac:dyDescent="0.2">
      <c r="A28" s="1"/>
      <c r="B28" s="41">
        <v>15</v>
      </c>
      <c r="C28" s="1" t="s">
        <v>481</v>
      </c>
      <c r="F28" s="1"/>
      <c r="G28" s="41">
        <v>32</v>
      </c>
      <c r="H28" s="1" t="s">
        <v>498</v>
      </c>
      <c r="I28" s="1"/>
      <c r="J28" s="1"/>
    </row>
    <row r="29" spans="1:10" ht="12" customHeight="1" x14ac:dyDescent="0.2">
      <c r="A29" s="1"/>
      <c r="B29" s="41">
        <v>16</v>
      </c>
      <c r="C29" s="1" t="s">
        <v>482</v>
      </c>
      <c r="F29" s="1"/>
      <c r="G29" s="41">
        <v>33</v>
      </c>
      <c r="H29" s="1" t="s">
        <v>499</v>
      </c>
      <c r="I29" s="1"/>
      <c r="J29" s="1"/>
    </row>
    <row r="30" spans="1:10" ht="12" customHeight="1" x14ac:dyDescent="0.2">
      <c r="A30" s="1"/>
      <c r="B30" s="41">
        <v>17</v>
      </c>
      <c r="C30" s="1" t="s">
        <v>483</v>
      </c>
      <c r="F30" s="1"/>
      <c r="G30" s="41">
        <v>34</v>
      </c>
      <c r="H30" s="1" t="s">
        <v>326</v>
      </c>
      <c r="I30" s="1"/>
      <c r="J30" s="1"/>
    </row>
    <row r="31" spans="1:10" ht="12" customHeight="1" x14ac:dyDescent="0.2">
      <c r="A31" s="1"/>
      <c r="B31" s="41">
        <v>18</v>
      </c>
      <c r="C31" s="1" t="s">
        <v>484</v>
      </c>
      <c r="F31" s="1"/>
      <c r="G31" s="41">
        <v>35</v>
      </c>
      <c r="H31" s="1" t="s">
        <v>500</v>
      </c>
      <c r="I31" s="1"/>
      <c r="J31" s="1"/>
    </row>
    <row r="32" spans="1:10" ht="12" customHeight="1" x14ac:dyDescent="0.2">
      <c r="A32" s="1"/>
      <c r="B32" s="41">
        <v>19</v>
      </c>
      <c r="C32" s="1" t="s">
        <v>485</v>
      </c>
      <c r="F32" s="1"/>
      <c r="G32" s="41">
        <v>36</v>
      </c>
      <c r="H32" s="1" t="s">
        <v>501</v>
      </c>
      <c r="I32" s="1"/>
      <c r="J32" s="1"/>
    </row>
    <row r="33" spans="1:10" ht="12" customHeight="1" x14ac:dyDescent="0.2">
      <c r="A33" s="1"/>
      <c r="B33" s="41">
        <v>20</v>
      </c>
      <c r="C33" s="1" t="s">
        <v>486</v>
      </c>
      <c r="F33" s="1"/>
      <c r="G33" s="41">
        <v>37</v>
      </c>
      <c r="H33" s="1" t="s">
        <v>502</v>
      </c>
      <c r="I33" s="1"/>
      <c r="J33" s="1"/>
    </row>
    <row r="34" spans="1:10" ht="12" customHeight="1" x14ac:dyDescent="0.2">
      <c r="A34" s="1"/>
      <c r="B34" s="41">
        <v>21</v>
      </c>
      <c r="C34" s="1" t="s">
        <v>487</v>
      </c>
      <c r="F34" s="1"/>
      <c r="G34" s="41">
        <v>38</v>
      </c>
      <c r="H34" s="1" t="s">
        <v>503</v>
      </c>
      <c r="I34" s="1"/>
      <c r="J34" s="1"/>
    </row>
    <row r="35" spans="1:10" ht="12" customHeight="1" x14ac:dyDescent="0.2">
      <c r="A35" s="1"/>
      <c r="B35" s="41">
        <v>22</v>
      </c>
      <c r="C35" s="1" t="s">
        <v>488</v>
      </c>
      <c r="F35" s="1"/>
      <c r="G35" s="41">
        <v>39</v>
      </c>
      <c r="H35" s="1" t="s">
        <v>504</v>
      </c>
      <c r="I35" s="1"/>
      <c r="J35" s="1"/>
    </row>
    <row r="36" spans="1:10" ht="12" customHeight="1" x14ac:dyDescent="0.2">
      <c r="A36" s="1"/>
      <c r="B36" s="41">
        <v>23</v>
      </c>
      <c r="C36" s="1" t="s">
        <v>489</v>
      </c>
      <c r="F36" s="1"/>
      <c r="G36" s="41">
        <v>40</v>
      </c>
      <c r="H36" s="1" t="s">
        <v>516</v>
      </c>
      <c r="I36" s="1"/>
      <c r="J36" s="1"/>
    </row>
    <row r="37" spans="1:10" ht="12" customHeight="1" x14ac:dyDescent="0.2">
      <c r="A37" s="1"/>
      <c r="B37" s="41">
        <v>24</v>
      </c>
      <c r="C37" s="1" t="s">
        <v>490</v>
      </c>
      <c r="F37" s="1"/>
      <c r="G37" s="41">
        <v>41</v>
      </c>
      <c r="H37" s="1" t="s">
        <v>505</v>
      </c>
      <c r="I37" s="1"/>
      <c r="J37" s="1"/>
    </row>
    <row r="38" spans="1:10" ht="12" customHeight="1" x14ac:dyDescent="0.2">
      <c r="A38" s="1"/>
      <c r="B38" s="41">
        <v>25</v>
      </c>
      <c r="C38" s="1" t="s">
        <v>491</v>
      </c>
      <c r="F38" s="1"/>
      <c r="G38" s="41">
        <v>42</v>
      </c>
      <c r="H38" s="1" t="s">
        <v>506</v>
      </c>
      <c r="I38" s="1"/>
      <c r="J38" s="1"/>
    </row>
    <row r="39" spans="1:10" ht="12" customHeight="1" x14ac:dyDescent="0.2">
      <c r="A39" s="1"/>
      <c r="B39" s="41"/>
      <c r="C39" s="1"/>
      <c r="F39" s="1"/>
      <c r="G39" s="41">
        <v>43</v>
      </c>
      <c r="H39" s="1" t="s">
        <v>517</v>
      </c>
      <c r="I39" s="1"/>
      <c r="J39" s="1"/>
    </row>
    <row r="40" spans="1:10" ht="12" customHeight="1" x14ac:dyDescent="0.2">
      <c r="A40" s="1"/>
      <c r="B40" s="41"/>
      <c r="C40" s="1"/>
      <c r="F40" s="1"/>
      <c r="G40" s="41"/>
      <c r="H40" s="1"/>
      <c r="I40" s="1"/>
      <c r="J40" s="1"/>
    </row>
    <row r="41" spans="1:10" ht="12" customHeight="1" thickBot="1" x14ac:dyDescent="0.25">
      <c r="A41" s="37"/>
      <c r="B41" s="38" t="s">
        <v>466</v>
      </c>
      <c r="C41" s="422" t="s">
        <v>467</v>
      </c>
      <c r="D41" s="422"/>
      <c r="E41" s="422"/>
      <c r="F41" s="39"/>
      <c r="G41" s="38" t="s">
        <v>466</v>
      </c>
      <c r="H41" s="422" t="s">
        <v>467</v>
      </c>
      <c r="I41" s="422"/>
      <c r="J41" s="422"/>
    </row>
    <row r="42" spans="1:10" ht="12" customHeight="1" x14ac:dyDescent="0.2">
      <c r="A42" s="40" t="s">
        <v>518</v>
      </c>
      <c r="B42" s="41">
        <v>44</v>
      </c>
      <c r="C42" s="1" t="s">
        <v>507</v>
      </c>
      <c r="F42" s="1"/>
      <c r="G42" s="41">
        <v>48</v>
      </c>
      <c r="H42" s="1" t="s">
        <v>510</v>
      </c>
      <c r="I42" s="1"/>
      <c r="J42" s="1"/>
    </row>
    <row r="43" spans="1:10" ht="12" customHeight="1" x14ac:dyDescent="0.2">
      <c r="A43" s="40" t="s">
        <v>519</v>
      </c>
      <c r="B43" s="41">
        <v>45</v>
      </c>
      <c r="C43" s="1" t="s">
        <v>513</v>
      </c>
      <c r="F43" s="1"/>
      <c r="G43" s="41">
        <v>49</v>
      </c>
      <c r="H43" s="1" t="s">
        <v>511</v>
      </c>
      <c r="I43" s="1"/>
      <c r="J43" s="1"/>
    </row>
    <row r="44" spans="1:10" ht="12" customHeight="1" x14ac:dyDescent="0.2">
      <c r="A44" s="40" t="s">
        <v>520</v>
      </c>
      <c r="B44" s="41">
        <v>46</v>
      </c>
      <c r="C44" s="1" t="s">
        <v>508</v>
      </c>
      <c r="F44" s="1"/>
      <c r="G44" s="41">
        <v>50</v>
      </c>
      <c r="H44" s="1" t="s">
        <v>805</v>
      </c>
      <c r="I44" s="1"/>
      <c r="J44" s="1"/>
    </row>
    <row r="45" spans="1:10" ht="12" customHeight="1" x14ac:dyDescent="0.2">
      <c r="A45" s="40" t="s">
        <v>521</v>
      </c>
      <c r="B45" s="41">
        <v>47</v>
      </c>
      <c r="C45" s="1" t="s">
        <v>509</v>
      </c>
      <c r="F45" s="1"/>
      <c r="G45" s="41"/>
      <c r="H45" s="1"/>
      <c r="I45" s="1"/>
      <c r="J45" s="1"/>
    </row>
    <row r="46" spans="1:10" x14ac:dyDescent="0.2">
      <c r="A46" s="1"/>
      <c r="B46" s="1"/>
      <c r="C46" s="1"/>
      <c r="F46" s="1"/>
      <c r="G46" s="1"/>
      <c r="H46" s="1"/>
      <c r="I46" s="1"/>
      <c r="J46" s="1"/>
    </row>
    <row r="47" spans="1:10" ht="12.75" customHeight="1" x14ac:dyDescent="0.2">
      <c r="A47" s="172" t="s">
        <v>914</v>
      </c>
      <c r="B47" s="170"/>
      <c r="C47" s="170"/>
      <c r="D47" s="170"/>
      <c r="E47" s="170"/>
      <c r="F47" s="170"/>
      <c r="G47" s="170"/>
      <c r="H47" s="170"/>
      <c r="I47" s="170"/>
      <c r="J47" s="170"/>
    </row>
    <row r="48" spans="1:10" x14ac:dyDescent="0.2">
      <c r="A48" s="170"/>
      <c r="B48" s="170"/>
      <c r="C48" s="170"/>
      <c r="D48" s="170"/>
      <c r="E48" s="170"/>
      <c r="F48" s="170"/>
      <c r="G48" s="170"/>
      <c r="H48" s="170"/>
      <c r="I48" s="170"/>
      <c r="J48" s="170"/>
    </row>
    <row r="49" spans="1:11" x14ac:dyDescent="0.2">
      <c r="A49" s="170"/>
      <c r="B49" s="170"/>
      <c r="C49" s="170"/>
      <c r="D49" s="170"/>
      <c r="E49" s="170"/>
      <c r="F49" s="170"/>
      <c r="G49" s="170"/>
      <c r="H49" s="170"/>
      <c r="I49" s="170"/>
      <c r="J49" s="170"/>
    </row>
    <row r="50" spans="1:11" x14ac:dyDescent="0.2">
      <c r="A50" s="170"/>
      <c r="B50" s="170"/>
      <c r="C50" s="170"/>
      <c r="D50" s="170"/>
      <c r="E50" s="170"/>
      <c r="F50" s="170"/>
      <c r="G50" s="170"/>
      <c r="H50" s="170"/>
      <c r="I50" s="170"/>
      <c r="J50" s="170"/>
    </row>
    <row r="51" spans="1:11" x14ac:dyDescent="0.2">
      <c r="A51" s="170"/>
      <c r="B51" s="170"/>
      <c r="C51" s="170"/>
      <c r="D51" s="170"/>
      <c r="E51" s="170"/>
      <c r="F51" s="170"/>
      <c r="G51" s="170"/>
      <c r="H51" s="170"/>
      <c r="I51" s="170"/>
      <c r="J51" s="170"/>
    </row>
    <row r="52" spans="1:11" ht="12.75" hidden="1" customHeight="1" x14ac:dyDescent="0.2">
      <c r="A52" s="170"/>
      <c r="B52" s="170"/>
      <c r="C52" s="170"/>
      <c r="D52" s="170"/>
      <c r="E52" s="170"/>
      <c r="F52" s="170"/>
      <c r="G52" s="170"/>
      <c r="H52" s="170"/>
      <c r="I52" s="170"/>
      <c r="J52" s="170"/>
    </row>
    <row r="53" spans="1:11" ht="12.75" hidden="1" customHeight="1" x14ac:dyDescent="0.2">
      <c r="A53" s="170"/>
      <c r="B53" s="170"/>
      <c r="C53" s="170"/>
      <c r="D53" s="170"/>
      <c r="E53" s="170"/>
      <c r="F53" s="170"/>
      <c r="G53" s="170"/>
      <c r="H53" s="170"/>
      <c r="I53" s="170"/>
      <c r="J53" s="170"/>
    </row>
    <row r="54" spans="1:11" ht="12.75" hidden="1" customHeight="1" x14ac:dyDescent="0.2">
      <c r="A54" s="170"/>
      <c r="B54" s="170"/>
      <c r="C54" s="170"/>
      <c r="D54" s="170"/>
      <c r="E54" s="170"/>
      <c r="F54" s="170"/>
      <c r="G54" s="170"/>
      <c r="H54" s="170"/>
      <c r="I54" s="170"/>
      <c r="J54" s="170"/>
    </row>
    <row r="55" spans="1:11" ht="12.75" hidden="1" customHeight="1" x14ac:dyDescent="0.2">
      <c r="A55" s="170"/>
      <c r="B55" s="170"/>
      <c r="C55" s="170"/>
      <c r="D55" s="170"/>
      <c r="E55" s="170"/>
      <c r="F55" s="170"/>
      <c r="G55" s="170"/>
      <c r="H55" s="170"/>
      <c r="I55" s="170"/>
      <c r="J55" s="170"/>
    </row>
    <row r="56" spans="1:11" x14ac:dyDescent="0.2">
      <c r="A56" s="170"/>
      <c r="B56" s="170"/>
      <c r="C56" s="170"/>
      <c r="D56" s="170"/>
      <c r="E56" s="170"/>
      <c r="F56" s="170"/>
      <c r="G56" s="170"/>
      <c r="H56" s="170"/>
      <c r="I56" s="170"/>
      <c r="J56" s="170"/>
    </row>
    <row r="57" spans="1:11" x14ac:dyDescent="0.2">
      <c r="A57" s="442"/>
      <c r="B57" s="442"/>
      <c r="C57" s="442"/>
      <c r="D57" s="442"/>
      <c r="E57" s="442"/>
      <c r="F57" s="442"/>
      <c r="G57" s="442"/>
      <c r="H57" s="442"/>
      <c r="I57" s="442"/>
      <c r="J57" s="442"/>
      <c r="K57" s="442"/>
    </row>
    <row r="58" spans="1:11" x14ac:dyDescent="0.2">
      <c r="A58" s="442"/>
      <c r="B58" s="442"/>
      <c r="C58" s="442"/>
      <c r="D58" s="442"/>
      <c r="E58" s="442"/>
      <c r="F58" s="442"/>
      <c r="G58" s="442"/>
      <c r="H58" s="442"/>
      <c r="I58" s="442"/>
      <c r="J58" s="442"/>
      <c r="K58" s="442"/>
    </row>
    <row r="59" spans="1:11" x14ac:dyDescent="0.2">
      <c r="A59" s="159"/>
      <c r="B59" s="159"/>
      <c r="C59" s="159"/>
      <c r="D59" s="159"/>
      <c r="E59" s="159"/>
      <c r="F59" s="159"/>
      <c r="G59" s="159"/>
      <c r="H59" s="159"/>
      <c r="I59" s="159"/>
      <c r="J59" s="159"/>
      <c r="K59" s="159"/>
    </row>
    <row r="60" spans="1:11" x14ac:dyDescent="0.2">
      <c r="A60" s="94"/>
      <c r="B60" s="94"/>
      <c r="C60" s="94"/>
      <c r="D60" s="94"/>
      <c r="E60" s="94"/>
      <c r="F60" s="94"/>
      <c r="G60" s="94"/>
      <c r="H60" s="94"/>
      <c r="I60" s="94"/>
      <c r="J60" s="94"/>
    </row>
    <row r="61" spans="1:11" x14ac:dyDescent="0.2">
      <c r="A61" s="94"/>
      <c r="B61" s="94"/>
      <c r="C61" s="94"/>
      <c r="D61" s="94"/>
      <c r="E61" s="94"/>
      <c r="F61" s="94"/>
      <c r="G61" s="94"/>
      <c r="H61" s="94"/>
      <c r="I61" s="94"/>
      <c r="J61" s="94"/>
    </row>
    <row r="62" spans="1:11" x14ac:dyDescent="0.2">
      <c r="A62" s="94"/>
      <c r="B62" s="94"/>
      <c r="C62" s="94"/>
      <c r="D62" s="94"/>
      <c r="E62" s="94"/>
      <c r="F62" s="94"/>
      <c r="G62" s="94"/>
      <c r="H62" s="94"/>
      <c r="I62" s="94"/>
      <c r="J62" s="94"/>
    </row>
    <row r="63" spans="1:11" x14ac:dyDescent="0.2">
      <c r="A63" s="94"/>
      <c r="B63" s="94"/>
      <c r="C63" s="94"/>
      <c r="D63" s="94"/>
      <c r="E63" s="94"/>
      <c r="F63" s="94"/>
      <c r="G63" s="94"/>
      <c r="H63" s="94"/>
      <c r="I63" s="94"/>
      <c r="J63" s="94"/>
    </row>
    <row r="64" spans="1:11" ht="12.75" customHeight="1" x14ac:dyDescent="0.2">
      <c r="I64" s="420"/>
      <c r="J64" s="421"/>
    </row>
    <row r="65" spans="1:10" ht="15.75" customHeight="1" x14ac:dyDescent="0.25">
      <c r="A65" s="280" t="s">
        <v>847</v>
      </c>
      <c r="B65" s="281"/>
      <c r="C65" s="281"/>
      <c r="D65" s="281"/>
      <c r="E65" s="281"/>
      <c r="F65" s="281"/>
      <c r="G65" s="281"/>
      <c r="H65" s="278" t="str">
        <f>'CONTACT INFORMATION'!$A$24</f>
        <v>Los Angeles</v>
      </c>
      <c r="I65" s="278"/>
      <c r="J65" s="279"/>
    </row>
    <row r="66" spans="1:10" ht="12" customHeight="1" x14ac:dyDescent="0.2">
      <c r="A66" s="36"/>
      <c r="B66" s="36"/>
      <c r="C66" s="36"/>
      <c r="D66" s="36"/>
      <c r="E66" s="36"/>
      <c r="F66" s="36"/>
      <c r="G66" s="36"/>
      <c r="H66" s="36"/>
      <c r="I66" s="36"/>
      <c r="J66" s="36"/>
    </row>
    <row r="67" spans="1:10" ht="12.75" customHeight="1" x14ac:dyDescent="0.2">
      <c r="B67" s="213" t="s">
        <v>538</v>
      </c>
      <c r="C67" s="213"/>
      <c r="D67" s="213"/>
      <c r="E67" s="213"/>
      <c r="F67" s="213"/>
      <c r="G67" s="213"/>
      <c r="H67" s="213"/>
      <c r="I67" s="213"/>
      <c r="J67" s="42"/>
    </row>
    <row r="68" spans="1:10" ht="12.75" customHeight="1" x14ac:dyDescent="0.2">
      <c r="A68" s="42"/>
      <c r="B68" s="213"/>
      <c r="C68" s="213"/>
      <c r="D68" s="213"/>
      <c r="E68" s="213"/>
      <c r="F68" s="213"/>
      <c r="G68" s="213"/>
      <c r="H68" s="213"/>
      <c r="I68" s="213"/>
      <c r="J68" s="42"/>
    </row>
    <row r="69" spans="1:10" x14ac:dyDescent="0.2">
      <c r="A69" s="42"/>
      <c r="B69" s="213"/>
      <c r="C69" s="213"/>
      <c r="D69" s="213"/>
      <c r="E69" s="213"/>
      <c r="F69" s="213"/>
      <c r="G69" s="213"/>
      <c r="H69" s="213"/>
      <c r="I69" s="213"/>
      <c r="J69" s="42"/>
    </row>
    <row r="70" spans="1:10" ht="12.95" customHeight="1" x14ac:dyDescent="0.2">
      <c r="A70" s="42"/>
      <c r="B70" s="87"/>
      <c r="C70" s="87"/>
      <c r="D70" s="87"/>
      <c r="E70" s="87"/>
      <c r="F70" s="87"/>
      <c r="G70" s="87"/>
      <c r="H70" s="87"/>
      <c r="I70" s="87"/>
      <c r="J70" s="87"/>
    </row>
    <row r="71" spans="1:10" ht="12.75" customHeight="1" x14ac:dyDescent="0.2">
      <c r="A71" s="42"/>
      <c r="B71" s="213" t="s">
        <v>214</v>
      </c>
      <c r="C71" s="213"/>
      <c r="D71" s="213"/>
      <c r="E71" s="213"/>
      <c r="F71" s="213"/>
      <c r="G71" s="213"/>
      <c r="H71" s="213"/>
      <c r="I71" s="213"/>
      <c r="J71" s="42"/>
    </row>
    <row r="72" spans="1:10" ht="12.75" customHeight="1" x14ac:dyDescent="0.2">
      <c r="A72" s="42"/>
      <c r="B72" s="213"/>
      <c r="C72" s="213"/>
      <c r="D72" s="213"/>
      <c r="E72" s="213"/>
      <c r="F72" s="213"/>
      <c r="G72" s="213"/>
      <c r="H72" s="213"/>
      <c r="I72" s="213"/>
      <c r="J72" s="42"/>
    </row>
    <row r="73" spans="1:10" x14ac:dyDescent="0.2">
      <c r="A73" s="42"/>
      <c r="B73" s="213"/>
      <c r="C73" s="213"/>
      <c r="D73" s="213"/>
      <c r="E73" s="213"/>
      <c r="F73" s="213"/>
      <c r="G73" s="213"/>
      <c r="H73" s="213"/>
      <c r="I73" s="213"/>
      <c r="J73" s="42"/>
    </row>
    <row r="74" spans="1:10" ht="12.75" customHeight="1" x14ac:dyDescent="0.2">
      <c r="A74" s="42"/>
      <c r="B74" s="213"/>
      <c r="C74" s="213"/>
      <c r="D74" s="213"/>
      <c r="E74" s="213"/>
      <c r="F74" s="213"/>
      <c r="G74" s="213"/>
      <c r="H74" s="213"/>
      <c r="I74" s="213"/>
      <c r="J74" s="42"/>
    </row>
    <row r="75" spans="1:10" ht="12.95" customHeight="1" x14ac:dyDescent="0.2">
      <c r="A75" s="42"/>
      <c r="B75" s="213"/>
      <c r="C75" s="213"/>
      <c r="D75" s="213"/>
      <c r="E75" s="213"/>
      <c r="F75" s="213"/>
      <c r="G75" s="213"/>
      <c r="H75" s="213"/>
      <c r="I75" s="213"/>
      <c r="J75" s="87"/>
    </row>
    <row r="76" spans="1:10" ht="12.95" customHeight="1" x14ac:dyDescent="0.2">
      <c r="A76" s="42"/>
      <c r="B76" s="87"/>
      <c r="C76" s="87"/>
      <c r="D76" s="87"/>
      <c r="E76" s="87"/>
      <c r="F76" s="87"/>
      <c r="G76" s="87"/>
      <c r="H76" s="87"/>
      <c r="I76" s="87"/>
      <c r="J76" s="87"/>
    </row>
    <row r="77" spans="1:10" ht="12.75" customHeight="1" x14ac:dyDescent="0.2">
      <c r="B77" s="213" t="s">
        <v>832</v>
      </c>
      <c r="C77" s="213"/>
      <c r="D77" s="213"/>
      <c r="E77" s="213"/>
      <c r="F77" s="213"/>
      <c r="G77" s="213"/>
      <c r="H77" s="213"/>
      <c r="I77" s="213"/>
      <c r="J77" s="42"/>
    </row>
    <row r="78" spans="1:10" ht="12.75" customHeight="1" x14ac:dyDescent="0.2">
      <c r="B78" s="213"/>
      <c r="C78" s="213"/>
      <c r="D78" s="213"/>
      <c r="E78" s="213"/>
      <c r="F78" s="213"/>
      <c r="G78" s="213"/>
      <c r="H78" s="213"/>
      <c r="I78" s="213"/>
      <c r="J78" s="42"/>
    </row>
    <row r="79" spans="1:10" ht="12.95" customHeight="1" x14ac:dyDescent="0.2">
      <c r="B79" s="213"/>
      <c r="C79" s="213"/>
      <c r="D79" s="213"/>
      <c r="E79" s="213"/>
      <c r="F79" s="213"/>
      <c r="G79" s="213"/>
      <c r="H79" s="213"/>
      <c r="I79" s="213"/>
      <c r="J79" s="87"/>
    </row>
    <row r="80" spans="1:10" ht="12.95" customHeight="1" x14ac:dyDescent="0.2">
      <c r="B80" s="153"/>
      <c r="C80" s="153"/>
      <c r="D80" s="153"/>
      <c r="E80" s="153"/>
      <c r="F80" s="153"/>
      <c r="G80" s="153"/>
      <c r="H80" s="153"/>
      <c r="I80" s="153"/>
      <c r="J80" s="87"/>
    </row>
    <row r="81" spans="1:10" ht="12.75" customHeight="1" x14ac:dyDescent="0.2">
      <c r="B81" s="441" t="s">
        <v>840</v>
      </c>
      <c r="C81" s="441"/>
      <c r="D81" s="441"/>
      <c r="E81" s="441"/>
      <c r="F81" s="441"/>
      <c r="G81" s="441"/>
      <c r="H81" s="441"/>
      <c r="I81" s="441"/>
      <c r="J81" s="42"/>
    </row>
    <row r="82" spans="1:10" x14ac:dyDescent="0.2">
      <c r="B82" s="441"/>
      <c r="C82" s="441"/>
      <c r="D82" s="441"/>
      <c r="E82" s="441"/>
      <c r="F82" s="441"/>
      <c r="G82" s="441"/>
      <c r="H82" s="441"/>
      <c r="I82" s="441"/>
      <c r="J82" s="42"/>
    </row>
    <row r="83" spans="1:10" x14ac:dyDescent="0.2">
      <c r="B83" s="441"/>
      <c r="C83" s="441"/>
      <c r="D83" s="441"/>
      <c r="E83" s="441"/>
      <c r="F83" s="441"/>
      <c r="G83" s="441"/>
      <c r="H83" s="441"/>
      <c r="I83" s="441"/>
      <c r="J83" s="42"/>
    </row>
    <row r="84" spans="1:10" ht="12.95" customHeight="1" x14ac:dyDescent="0.2">
      <c r="B84" s="441"/>
      <c r="C84" s="441"/>
      <c r="D84" s="441"/>
      <c r="E84" s="441"/>
      <c r="F84" s="441"/>
      <c r="G84" s="441"/>
      <c r="H84" s="441"/>
      <c r="I84" s="441"/>
      <c r="J84" s="87"/>
    </row>
    <row r="85" spans="1:10" ht="12.95" customHeight="1" x14ac:dyDescent="0.2">
      <c r="B85" s="87"/>
      <c r="C85" s="87"/>
      <c r="D85" s="87"/>
      <c r="E85" s="87"/>
      <c r="F85" s="87"/>
      <c r="G85" s="87"/>
      <c r="H85" s="87"/>
      <c r="I85" s="87"/>
      <c r="J85" s="87"/>
    </row>
    <row r="86" spans="1:10" ht="12.75" customHeight="1" x14ac:dyDescent="0.2">
      <c r="B86" s="213" t="s">
        <v>833</v>
      </c>
      <c r="C86" s="213"/>
      <c r="D86" s="213"/>
      <c r="E86" s="213"/>
      <c r="F86" s="213"/>
      <c r="G86" s="213"/>
      <c r="H86" s="213"/>
      <c r="I86" s="213"/>
      <c r="J86" s="36"/>
    </row>
    <row r="87" spans="1:10" x14ac:dyDescent="0.2">
      <c r="B87" s="213"/>
      <c r="C87" s="213"/>
      <c r="D87" s="213"/>
      <c r="E87" s="213"/>
      <c r="F87" s="213"/>
      <c r="G87" s="213"/>
      <c r="H87" s="213"/>
      <c r="I87" s="213"/>
      <c r="J87" s="36"/>
    </row>
    <row r="88" spans="1:10" x14ac:dyDescent="0.2">
      <c r="B88" s="213"/>
      <c r="C88" s="213"/>
      <c r="D88" s="213"/>
      <c r="E88" s="213"/>
      <c r="F88" s="213"/>
      <c r="G88" s="213"/>
      <c r="H88" s="213"/>
      <c r="I88" s="213"/>
      <c r="J88" s="36"/>
    </row>
    <row r="89" spans="1:10" ht="12.95" customHeight="1" x14ac:dyDescent="0.2">
      <c r="B89" s="32"/>
      <c r="C89" s="32"/>
      <c r="D89" s="32"/>
      <c r="E89" s="32"/>
      <c r="F89" s="32"/>
      <c r="G89" s="32"/>
      <c r="H89" s="32"/>
      <c r="I89" s="32"/>
      <c r="J89" s="32"/>
    </row>
    <row r="90" spans="1:10" ht="12.75" customHeight="1" x14ac:dyDescent="0.2">
      <c r="B90" s="213" t="s">
        <v>811</v>
      </c>
      <c r="C90" s="213"/>
      <c r="D90" s="213"/>
      <c r="E90" s="213"/>
      <c r="F90" s="213"/>
      <c r="G90" s="213"/>
      <c r="H90" s="213"/>
      <c r="I90" s="213"/>
      <c r="J90" s="36"/>
    </row>
    <row r="91" spans="1:10" ht="24.75" customHeight="1" x14ac:dyDescent="0.2">
      <c r="B91" s="213"/>
      <c r="C91" s="213"/>
      <c r="D91" s="213"/>
      <c r="E91" s="213"/>
      <c r="F91" s="213"/>
      <c r="G91" s="213"/>
      <c r="H91" s="213"/>
      <c r="I91" s="213"/>
      <c r="J91" s="36"/>
    </row>
    <row r="92" spans="1:10" ht="9" customHeight="1" x14ac:dyDescent="0.2"/>
    <row r="93" spans="1:10" ht="5.0999999999999996" customHeight="1" x14ac:dyDescent="0.2"/>
    <row r="94" spans="1:10" ht="12.75" customHeight="1" x14ac:dyDescent="0.2">
      <c r="A94" s="423" t="s">
        <v>839</v>
      </c>
      <c r="B94" s="424"/>
      <c r="C94" s="424"/>
      <c r="D94" s="424"/>
      <c r="E94" s="424"/>
      <c r="F94" s="424"/>
      <c r="G94" s="424"/>
      <c r="H94" s="424"/>
      <c r="I94" s="424"/>
      <c r="J94" s="424"/>
    </row>
    <row r="95" spans="1:10" x14ac:dyDescent="0.2">
      <c r="A95" s="424"/>
      <c r="B95" s="424"/>
      <c r="C95" s="424"/>
      <c r="D95" s="424"/>
      <c r="E95" s="424"/>
      <c r="F95" s="424"/>
      <c r="G95" s="424"/>
      <c r="H95" s="424"/>
      <c r="I95" s="424"/>
      <c r="J95" s="424"/>
    </row>
    <row r="96" spans="1:10" x14ac:dyDescent="0.2">
      <c r="A96" s="424"/>
      <c r="B96" s="424"/>
      <c r="C96" s="424"/>
      <c r="D96" s="424"/>
      <c r="E96" s="424"/>
      <c r="F96" s="424"/>
      <c r="G96" s="424"/>
      <c r="H96" s="424"/>
      <c r="I96" s="424"/>
      <c r="J96" s="424"/>
    </row>
    <row r="97" spans="1:11" ht="12.75" hidden="1" customHeight="1" x14ac:dyDescent="0.2">
      <c r="A97" s="424"/>
      <c r="B97" s="424"/>
      <c r="C97" s="424"/>
      <c r="D97" s="424"/>
      <c r="E97" s="424"/>
      <c r="F97" s="424"/>
      <c r="G97" s="424"/>
      <c r="H97" s="424"/>
      <c r="I97" s="424"/>
      <c r="J97" s="424"/>
    </row>
    <row r="98" spans="1:11" ht="12.75" hidden="1" customHeight="1" x14ac:dyDescent="0.2">
      <c r="A98" s="424"/>
      <c r="B98" s="424"/>
      <c r="C98" s="424"/>
      <c r="D98" s="424"/>
      <c r="E98" s="424"/>
      <c r="F98" s="424"/>
      <c r="G98" s="424"/>
      <c r="H98" s="424"/>
      <c r="I98" s="424"/>
      <c r="J98" s="424"/>
    </row>
    <row r="99" spans="1:11" ht="12.75" hidden="1" customHeight="1" x14ac:dyDescent="0.2">
      <c r="A99" s="424"/>
      <c r="B99" s="424"/>
      <c r="C99" s="424"/>
      <c r="D99" s="424"/>
      <c r="E99" s="424"/>
      <c r="F99" s="424"/>
      <c r="G99" s="424"/>
      <c r="H99" s="424"/>
      <c r="I99" s="424"/>
      <c r="J99" s="424"/>
    </row>
    <row r="100" spans="1:11" ht="12.75" hidden="1" customHeight="1" x14ac:dyDescent="0.2">
      <c r="A100" s="424"/>
      <c r="B100" s="424"/>
      <c r="C100" s="424"/>
      <c r="D100" s="424"/>
      <c r="E100" s="424"/>
      <c r="F100" s="424"/>
      <c r="G100" s="424"/>
      <c r="H100" s="424"/>
      <c r="I100" s="424"/>
      <c r="J100" s="424"/>
    </row>
    <row r="101" spans="1:11" ht="4.5" customHeight="1" x14ac:dyDescent="0.2">
      <c r="A101" s="424"/>
      <c r="B101" s="424"/>
      <c r="C101" s="424"/>
      <c r="D101" s="424"/>
      <c r="E101" s="424"/>
      <c r="F101" s="424"/>
      <c r="G101" s="424"/>
      <c r="H101" s="424"/>
      <c r="I101" s="424"/>
      <c r="J101" s="424"/>
    </row>
    <row r="102" spans="1:11" ht="7.5" customHeight="1" x14ac:dyDescent="0.2">
      <c r="A102" s="93"/>
      <c r="B102" s="93"/>
      <c r="C102" s="93"/>
      <c r="D102" s="93"/>
      <c r="E102" s="93"/>
      <c r="F102" s="93"/>
      <c r="G102" s="93"/>
      <c r="H102" s="93"/>
      <c r="I102" s="93"/>
      <c r="J102" s="93"/>
    </row>
    <row r="103" spans="1:11" ht="12.75" customHeight="1" x14ac:dyDescent="0.2">
      <c r="A103" s="423" t="s">
        <v>918</v>
      </c>
      <c r="B103" s="424"/>
      <c r="C103" s="424"/>
      <c r="D103" s="424"/>
      <c r="E103" s="424"/>
      <c r="F103" s="424"/>
      <c r="G103" s="424"/>
      <c r="H103" s="424"/>
      <c r="I103" s="424"/>
      <c r="J103" s="424"/>
    </row>
    <row r="104" spans="1:11" ht="12.75" customHeight="1" x14ac:dyDescent="0.2">
      <c r="A104" s="424"/>
      <c r="B104" s="424"/>
      <c r="C104" s="424"/>
      <c r="D104" s="424"/>
      <c r="E104" s="424"/>
      <c r="F104" s="424"/>
      <c r="G104" s="424"/>
      <c r="H104" s="424"/>
      <c r="I104" s="424"/>
      <c r="J104" s="424"/>
    </row>
    <row r="105" spans="1:11" ht="12.75" customHeight="1" x14ac:dyDescent="0.2">
      <c r="A105" s="424"/>
      <c r="B105" s="424"/>
      <c r="C105" s="424"/>
      <c r="D105" s="424"/>
      <c r="E105" s="424"/>
      <c r="F105" s="424"/>
      <c r="G105" s="424"/>
      <c r="H105" s="424"/>
      <c r="I105" s="424"/>
      <c r="J105" s="424"/>
    </row>
    <row r="106" spans="1:11" ht="12.75" customHeight="1" x14ac:dyDescent="0.2">
      <c r="A106" s="36"/>
      <c r="B106" s="36"/>
      <c r="C106" s="36"/>
      <c r="D106" s="36"/>
      <c r="E106" s="36"/>
      <c r="F106" s="36"/>
      <c r="G106" s="36"/>
      <c r="H106" s="36"/>
      <c r="I106" s="36"/>
      <c r="J106" s="36"/>
    </row>
    <row r="107" spans="1:11" ht="20.45" customHeight="1" x14ac:dyDescent="0.2">
      <c r="A107" s="442" t="s">
        <v>915</v>
      </c>
      <c r="B107" s="210"/>
      <c r="C107" s="210"/>
      <c r="D107" s="210"/>
      <c r="E107" s="210"/>
      <c r="F107" s="210"/>
      <c r="G107" s="210"/>
      <c r="H107" s="210"/>
      <c r="I107" s="210"/>
      <c r="J107" s="210"/>
      <c r="K107" s="210"/>
    </row>
    <row r="108" spans="1:11" ht="12.75" customHeight="1" x14ac:dyDescent="0.2">
      <c r="A108" s="36"/>
      <c r="B108" s="36"/>
      <c r="C108" s="36"/>
      <c r="D108" s="36"/>
      <c r="E108" s="36"/>
      <c r="F108" s="36"/>
      <c r="G108" s="36"/>
      <c r="H108" s="36"/>
      <c r="I108" s="36"/>
      <c r="J108" s="36"/>
    </row>
    <row r="109" spans="1:11" ht="12.75" customHeight="1" x14ac:dyDescent="0.2">
      <c r="A109" s="36"/>
      <c r="B109" s="36"/>
      <c r="C109" s="36"/>
      <c r="D109" s="36"/>
      <c r="E109" s="36"/>
      <c r="F109" s="36"/>
      <c r="G109" s="36"/>
      <c r="H109" s="36"/>
      <c r="I109" s="36"/>
      <c r="J109" s="36"/>
    </row>
    <row r="110" spans="1:11" ht="12.75" customHeight="1" x14ac:dyDescent="0.2">
      <c r="A110" s="36"/>
      <c r="B110" s="36"/>
      <c r="C110" s="36"/>
      <c r="D110" s="36"/>
      <c r="E110" s="36"/>
      <c r="F110" s="36"/>
      <c r="G110" s="36"/>
      <c r="H110" s="36"/>
      <c r="I110" s="36"/>
      <c r="J110" s="36"/>
    </row>
    <row r="111" spans="1:11" ht="12.75" customHeight="1" x14ac:dyDescent="0.2">
      <c r="A111" s="36"/>
      <c r="B111" s="36"/>
      <c r="C111" s="36"/>
      <c r="D111" s="36"/>
      <c r="E111" s="36"/>
      <c r="F111" s="36"/>
      <c r="G111" s="36"/>
      <c r="H111" s="36"/>
      <c r="I111" s="36"/>
      <c r="J111" s="36"/>
    </row>
    <row r="112" spans="1:11" ht="12.75" customHeight="1" x14ac:dyDescent="0.2">
      <c r="A112" s="36"/>
      <c r="B112" s="36"/>
      <c r="C112" s="36"/>
      <c r="D112" s="36"/>
      <c r="E112" s="36"/>
      <c r="F112" s="36"/>
      <c r="G112" s="36"/>
      <c r="H112" s="36"/>
      <c r="I112" s="36"/>
      <c r="J112" s="36"/>
    </row>
    <row r="113" spans="1:12" ht="12.75" customHeight="1" x14ac:dyDescent="0.2">
      <c r="A113" s="36"/>
      <c r="B113" s="36"/>
      <c r="C113" s="36"/>
      <c r="D113" s="36"/>
      <c r="E113" s="36"/>
      <c r="F113" s="36"/>
      <c r="G113" s="36"/>
      <c r="H113" s="36"/>
      <c r="I113" s="36"/>
      <c r="J113" s="36"/>
    </row>
    <row r="114" spans="1:12" ht="12.75" customHeight="1" x14ac:dyDescent="0.2">
      <c r="A114" s="36"/>
      <c r="B114" s="36"/>
      <c r="C114" s="36"/>
      <c r="D114" s="36"/>
      <c r="E114" s="36"/>
      <c r="F114" s="36"/>
      <c r="G114" s="36"/>
      <c r="H114" s="36"/>
      <c r="I114" s="36"/>
      <c r="J114" s="36"/>
    </row>
    <row r="115" spans="1:12" ht="12.75" customHeight="1" x14ac:dyDescent="0.2">
      <c r="A115" s="36"/>
      <c r="B115" s="36"/>
      <c r="C115" s="36"/>
      <c r="D115" s="36"/>
      <c r="E115" s="36"/>
      <c r="F115" s="36"/>
      <c r="G115" s="36"/>
      <c r="H115" s="36"/>
      <c r="I115" s="36"/>
      <c r="J115" s="36"/>
    </row>
    <row r="116" spans="1:12" ht="12.75" customHeight="1" x14ac:dyDescent="0.2">
      <c r="A116" s="36"/>
      <c r="B116" s="36"/>
      <c r="C116" s="36"/>
      <c r="D116" s="36"/>
      <c r="E116" s="36"/>
      <c r="F116" s="36"/>
      <c r="G116" s="36"/>
      <c r="H116" s="36"/>
      <c r="I116" s="36"/>
      <c r="J116" s="36"/>
    </row>
    <row r="117" spans="1:12" ht="12.75" customHeight="1" x14ac:dyDescent="0.2">
      <c r="A117" s="36"/>
      <c r="B117" s="36"/>
      <c r="C117" s="36"/>
      <c r="D117" s="36"/>
      <c r="E117" s="36"/>
      <c r="F117" s="36"/>
      <c r="G117" s="36"/>
      <c r="H117" s="36"/>
      <c r="I117" s="36"/>
      <c r="J117" s="36"/>
    </row>
    <row r="118" spans="1:12" ht="12.75" customHeight="1" x14ac:dyDescent="0.2">
      <c r="A118" s="36"/>
      <c r="B118" s="36"/>
      <c r="C118" s="36"/>
      <c r="D118" s="36"/>
      <c r="E118" s="36"/>
      <c r="F118" s="36"/>
      <c r="G118" s="36"/>
      <c r="H118" s="36"/>
      <c r="I118" s="36"/>
      <c r="J118" s="36"/>
    </row>
    <row r="119" spans="1:12" ht="12.75" customHeight="1" x14ac:dyDescent="0.2">
      <c r="A119" s="36"/>
      <c r="B119" s="36"/>
      <c r="C119" s="36"/>
      <c r="D119" s="36"/>
      <c r="E119" s="36"/>
      <c r="F119" s="36"/>
      <c r="G119" s="36"/>
      <c r="H119" s="36"/>
      <c r="I119" s="36"/>
      <c r="J119" s="36"/>
    </row>
    <row r="120" spans="1:12" ht="12.75" customHeight="1" x14ac:dyDescent="0.2">
      <c r="A120" s="36"/>
      <c r="B120" s="36"/>
      <c r="C120" s="36"/>
      <c r="D120" s="36"/>
      <c r="E120" s="36"/>
      <c r="F120" s="36"/>
      <c r="G120" s="36"/>
      <c r="H120" s="36"/>
      <c r="I120" s="36"/>
      <c r="J120" s="36"/>
    </row>
    <row r="121" spans="1:12" ht="12.75" customHeight="1" x14ac:dyDescent="0.2">
      <c r="A121" s="36"/>
      <c r="B121" s="36"/>
      <c r="C121" s="36"/>
      <c r="D121" s="36"/>
      <c r="E121" s="36"/>
      <c r="F121" s="36"/>
      <c r="G121" s="36"/>
      <c r="H121" s="36"/>
      <c r="I121" s="36"/>
      <c r="J121" s="36"/>
    </row>
    <row r="122" spans="1:12" ht="12.75" customHeight="1" x14ac:dyDescent="0.2">
      <c r="A122" s="36"/>
      <c r="B122" s="36"/>
      <c r="C122" s="36"/>
      <c r="D122" s="36"/>
      <c r="E122" s="36"/>
      <c r="F122" s="36"/>
      <c r="G122" s="36"/>
      <c r="H122" s="36"/>
      <c r="I122" s="36"/>
      <c r="J122" s="36"/>
    </row>
    <row r="123" spans="1:12" ht="12.75" customHeight="1" x14ac:dyDescent="0.2">
      <c r="A123" s="36"/>
      <c r="B123" s="36"/>
      <c r="C123" s="36"/>
      <c r="D123" s="36"/>
      <c r="E123" s="36"/>
      <c r="F123" s="36"/>
      <c r="G123" s="36"/>
      <c r="H123" s="36"/>
      <c r="I123" s="36"/>
      <c r="J123" s="36"/>
    </row>
    <row r="124" spans="1:12" ht="12.75" customHeight="1" x14ac:dyDescent="0.2">
      <c r="A124" s="36"/>
      <c r="B124" s="36"/>
      <c r="C124" s="36"/>
      <c r="D124" s="36"/>
      <c r="E124" s="36"/>
      <c r="F124" s="36"/>
      <c r="G124" s="36"/>
      <c r="H124" s="36"/>
      <c r="I124" s="36"/>
      <c r="J124" s="36"/>
    </row>
    <row r="125" spans="1:12" ht="15.75" x14ac:dyDescent="0.25">
      <c r="A125" s="280" t="s">
        <v>847</v>
      </c>
      <c r="B125" s="281"/>
      <c r="C125" s="281"/>
      <c r="D125" s="281"/>
      <c r="E125" s="281"/>
      <c r="F125" s="281"/>
      <c r="G125" s="281"/>
      <c r="H125" s="278" t="str">
        <f>'CONTACT INFORMATION'!$A$24</f>
        <v>Los Angeles</v>
      </c>
      <c r="I125" s="278"/>
      <c r="J125" s="279"/>
      <c r="K125" s="2"/>
      <c r="L125" s="2"/>
    </row>
    <row r="126" spans="1:12" ht="8.4499999999999993" customHeight="1" x14ac:dyDescent="0.25">
      <c r="A126" s="43"/>
      <c r="B126" s="43"/>
      <c r="C126" s="43"/>
      <c r="D126" s="43"/>
      <c r="E126" s="43"/>
      <c r="F126" s="43"/>
      <c r="G126" s="43"/>
      <c r="H126" s="43"/>
      <c r="I126" s="43"/>
      <c r="J126" s="43"/>
      <c r="K126" s="2"/>
      <c r="L126" s="2"/>
    </row>
    <row r="127" spans="1:12" ht="15" x14ac:dyDescent="0.25">
      <c r="A127" s="387" t="s">
        <v>807</v>
      </c>
      <c r="B127" s="388"/>
      <c r="C127" s="388"/>
      <c r="D127" s="388"/>
      <c r="E127" s="388"/>
      <c r="F127" s="388"/>
      <c r="G127" s="388"/>
      <c r="H127" s="388"/>
      <c r="I127" s="388"/>
      <c r="J127" s="389"/>
    </row>
    <row r="128" spans="1:12" ht="12.75" customHeight="1" x14ac:dyDescent="0.2">
      <c r="A128" s="390" t="s">
        <v>853</v>
      </c>
      <c r="B128" s="391"/>
      <c r="C128" s="391"/>
      <c r="D128" s="392"/>
      <c r="E128" s="434" t="s">
        <v>934</v>
      </c>
      <c r="F128" s="435"/>
      <c r="G128" s="435"/>
      <c r="H128" s="435"/>
      <c r="I128" s="435"/>
      <c r="J128" s="436"/>
    </row>
    <row r="129" spans="1:16" ht="12.75" customHeight="1" x14ac:dyDescent="0.2">
      <c r="A129" s="399" t="s">
        <v>911</v>
      </c>
      <c r="B129" s="400"/>
      <c r="C129" s="400"/>
      <c r="D129" s="401"/>
      <c r="E129" s="437"/>
      <c r="F129" s="438"/>
      <c r="G129" s="438"/>
      <c r="H129" s="438"/>
      <c r="I129" s="438"/>
      <c r="J129" s="439"/>
    </row>
    <row r="130" spans="1:16" x14ac:dyDescent="0.2">
      <c r="A130" s="431" t="s">
        <v>912</v>
      </c>
      <c r="B130" s="432"/>
      <c r="C130" s="432"/>
      <c r="D130" s="432"/>
      <c r="E130" s="428"/>
      <c r="F130" s="429"/>
      <c r="G130" s="429"/>
      <c r="H130" s="429"/>
      <c r="I130" s="429"/>
      <c r="J130" s="430"/>
    </row>
    <row r="131" spans="1:16" ht="27" customHeight="1" x14ac:dyDescent="0.2">
      <c r="A131" s="44"/>
      <c r="B131" s="45"/>
      <c r="C131" s="45"/>
      <c r="D131" s="45"/>
      <c r="E131" s="378" t="s">
        <v>535</v>
      </c>
      <c r="F131" s="379"/>
      <c r="G131" s="378" t="s">
        <v>533</v>
      </c>
      <c r="H131" s="379"/>
      <c r="I131" s="380" t="s">
        <v>848</v>
      </c>
      <c r="J131" s="381"/>
    </row>
    <row r="132" spans="1:16" x14ac:dyDescent="0.2">
      <c r="A132" s="440" t="s">
        <v>527</v>
      </c>
      <c r="B132" s="440"/>
      <c r="C132" s="440"/>
      <c r="D132" s="440"/>
      <c r="E132" s="385"/>
      <c r="F132" s="385"/>
      <c r="G132" s="385">
        <v>19097053</v>
      </c>
      <c r="H132" s="385"/>
      <c r="I132" s="386"/>
      <c r="J132" s="386"/>
    </row>
    <row r="133" spans="1:16" x14ac:dyDescent="0.2">
      <c r="A133" s="433" t="s">
        <v>528</v>
      </c>
      <c r="B133" s="433"/>
      <c r="C133" s="433"/>
      <c r="D133" s="433"/>
      <c r="E133" s="375"/>
      <c r="F133" s="375"/>
      <c r="G133" s="376">
        <v>8767159</v>
      </c>
      <c r="H133" s="376"/>
      <c r="I133" s="377"/>
      <c r="J133" s="377"/>
    </row>
    <row r="134" spans="1:16" x14ac:dyDescent="0.2">
      <c r="A134" s="440" t="s">
        <v>529</v>
      </c>
      <c r="B134" s="440"/>
      <c r="C134" s="440"/>
      <c r="D134" s="440"/>
      <c r="E134" s="385"/>
      <c r="F134" s="385"/>
      <c r="G134" s="385">
        <v>1367311</v>
      </c>
      <c r="H134" s="385"/>
      <c r="I134" s="386"/>
      <c r="J134" s="386"/>
    </row>
    <row r="135" spans="1:16" x14ac:dyDescent="0.2">
      <c r="A135" s="433" t="s">
        <v>530</v>
      </c>
      <c r="B135" s="433"/>
      <c r="C135" s="433"/>
      <c r="D135" s="433"/>
      <c r="E135" s="375"/>
      <c r="F135" s="375"/>
      <c r="G135" s="376">
        <v>292135</v>
      </c>
      <c r="H135" s="376"/>
      <c r="I135" s="377"/>
      <c r="J135" s="377"/>
    </row>
    <row r="136" spans="1:16" x14ac:dyDescent="0.2">
      <c r="A136" s="440" t="s">
        <v>531</v>
      </c>
      <c r="B136" s="440"/>
      <c r="C136" s="440"/>
      <c r="D136" s="440"/>
      <c r="E136" s="385"/>
      <c r="F136" s="385"/>
      <c r="G136" s="385"/>
      <c r="H136" s="385"/>
      <c r="I136" s="386"/>
      <c r="J136" s="386"/>
    </row>
    <row r="137" spans="1:16" x14ac:dyDescent="0.2">
      <c r="A137" s="433" t="s">
        <v>532</v>
      </c>
      <c r="B137" s="433"/>
      <c r="C137" s="433"/>
      <c r="D137" s="433"/>
      <c r="E137" s="375"/>
      <c r="F137" s="375"/>
      <c r="G137" s="376"/>
      <c r="H137" s="376"/>
      <c r="I137" s="377"/>
      <c r="J137" s="377"/>
    </row>
    <row r="138" spans="1:16" x14ac:dyDescent="0.2">
      <c r="A138" s="443" t="s">
        <v>537</v>
      </c>
      <c r="B138" s="440"/>
      <c r="C138" s="440"/>
      <c r="D138" s="440"/>
      <c r="E138" s="418"/>
      <c r="F138" s="418"/>
      <c r="G138" s="418"/>
      <c r="H138" s="418"/>
      <c r="I138" s="419"/>
      <c r="J138" s="419"/>
    </row>
    <row r="139" spans="1:16" x14ac:dyDescent="0.2">
      <c r="A139" s="427"/>
      <c r="B139" s="409"/>
      <c r="C139" s="409"/>
      <c r="D139" s="410"/>
      <c r="E139" s="375"/>
      <c r="F139" s="375"/>
      <c r="G139" s="376"/>
      <c r="H139" s="376"/>
      <c r="I139" s="376"/>
      <c r="J139" s="376"/>
    </row>
    <row r="140" spans="1:16" x14ac:dyDescent="0.2">
      <c r="A140" s="427"/>
      <c r="B140" s="409"/>
      <c r="C140" s="409"/>
      <c r="D140" s="410"/>
      <c r="E140" s="375"/>
      <c r="F140" s="375"/>
      <c r="G140" s="376"/>
      <c r="H140" s="376"/>
      <c r="I140" s="376"/>
      <c r="J140" s="376"/>
    </row>
    <row r="141" spans="1:16" ht="12.75" customHeight="1" x14ac:dyDescent="0.2">
      <c r="A141" s="427"/>
      <c r="B141" s="409"/>
      <c r="C141" s="409"/>
      <c r="D141" s="410"/>
      <c r="E141" s="375"/>
      <c r="F141" s="375"/>
      <c r="G141" s="376"/>
      <c r="H141" s="376"/>
      <c r="I141" s="376"/>
      <c r="J141" s="376"/>
      <c r="P141" s="81"/>
    </row>
    <row r="142" spans="1:16" x14ac:dyDescent="0.2">
      <c r="A142" s="455" t="s">
        <v>534</v>
      </c>
      <c r="B142" s="455"/>
      <c r="C142" s="455"/>
      <c r="D142" s="455"/>
      <c r="E142" s="414">
        <f>SUM(E132:E141)</f>
        <v>0</v>
      </c>
      <c r="F142" s="414"/>
      <c r="G142" s="414">
        <f>SUM(G132:G141)</f>
        <v>29523658</v>
      </c>
      <c r="H142" s="414"/>
      <c r="I142" s="414">
        <f>SUM(I132:I141)</f>
        <v>0</v>
      </c>
      <c r="J142" s="414"/>
      <c r="L142" s="99"/>
    </row>
    <row r="143" spans="1:16" x14ac:dyDescent="0.2">
      <c r="A143" s="415" t="s">
        <v>860</v>
      </c>
      <c r="B143" s="416"/>
      <c r="C143" s="416"/>
      <c r="D143" s="416"/>
      <c r="E143" s="416"/>
      <c r="F143" s="416"/>
      <c r="G143" s="416"/>
      <c r="H143" s="416"/>
      <c r="I143" s="416"/>
      <c r="J143" s="417"/>
      <c r="L143" s="99"/>
    </row>
    <row r="144" spans="1:16" ht="14.25" customHeight="1" x14ac:dyDescent="0.2">
      <c r="A144" s="358" t="s">
        <v>861</v>
      </c>
      <c r="B144" s="359"/>
      <c r="C144" s="359"/>
      <c r="D144" s="359"/>
      <c r="E144" s="359"/>
      <c r="F144" s="359"/>
      <c r="G144" s="359"/>
      <c r="H144" s="359"/>
      <c r="I144" s="359"/>
      <c r="J144" s="360"/>
      <c r="L144" s="99"/>
    </row>
    <row r="145" spans="1:12" ht="14.25" customHeight="1" x14ac:dyDescent="0.2">
      <c r="A145" s="358" t="s">
        <v>862</v>
      </c>
      <c r="B145" s="359"/>
      <c r="C145" s="359"/>
      <c r="D145" s="359"/>
      <c r="E145" s="359"/>
      <c r="F145" s="359"/>
      <c r="G145" s="359"/>
      <c r="H145" s="359"/>
      <c r="I145" s="359"/>
      <c r="J145" s="360"/>
      <c r="L145" s="99"/>
    </row>
    <row r="146" spans="1:12" x14ac:dyDescent="0.2">
      <c r="A146" s="361" t="s">
        <v>863</v>
      </c>
      <c r="B146" s="362"/>
      <c r="C146" s="362"/>
      <c r="D146" s="362"/>
      <c r="E146" s="362"/>
      <c r="F146" s="362"/>
      <c r="G146" s="362"/>
      <c r="H146" s="362"/>
      <c r="I146" s="362"/>
      <c r="J146" s="363"/>
      <c r="L146" s="99"/>
    </row>
    <row r="147" spans="1:12" ht="15" customHeight="1" x14ac:dyDescent="0.2">
      <c r="A147" s="446" t="s">
        <v>989</v>
      </c>
      <c r="B147" s="447"/>
      <c r="C147" s="447"/>
      <c r="D147" s="447"/>
      <c r="E147" s="447"/>
      <c r="F147" s="447"/>
      <c r="G147" s="447"/>
      <c r="H147" s="447"/>
      <c r="I147" s="447"/>
      <c r="J147" s="448"/>
      <c r="L147" s="99"/>
    </row>
    <row r="148" spans="1:12" ht="15" customHeight="1" x14ac:dyDescent="0.2">
      <c r="A148" s="449"/>
      <c r="B148" s="450"/>
      <c r="C148" s="450"/>
      <c r="D148" s="450"/>
      <c r="E148" s="450"/>
      <c r="F148" s="450"/>
      <c r="G148" s="450"/>
      <c r="H148" s="450"/>
      <c r="I148" s="450"/>
      <c r="J148" s="451"/>
    </row>
    <row r="149" spans="1:12" ht="15" customHeight="1" x14ac:dyDescent="0.2">
      <c r="A149" s="449"/>
      <c r="B149" s="450"/>
      <c r="C149" s="450"/>
      <c r="D149" s="450"/>
      <c r="E149" s="450"/>
      <c r="F149" s="450"/>
      <c r="G149" s="450"/>
      <c r="H149" s="450"/>
      <c r="I149" s="450"/>
      <c r="J149" s="451"/>
    </row>
    <row r="150" spans="1:12" ht="15" customHeight="1" x14ac:dyDescent="0.2">
      <c r="A150" s="449"/>
      <c r="B150" s="450"/>
      <c r="C150" s="450"/>
      <c r="D150" s="450"/>
      <c r="E150" s="450"/>
      <c r="F150" s="450"/>
      <c r="G150" s="450"/>
      <c r="H150" s="450"/>
      <c r="I150" s="450"/>
      <c r="J150" s="451"/>
    </row>
    <row r="151" spans="1:12" ht="15" customHeight="1" x14ac:dyDescent="0.2">
      <c r="A151" s="449"/>
      <c r="B151" s="450"/>
      <c r="C151" s="450"/>
      <c r="D151" s="450"/>
      <c r="E151" s="450"/>
      <c r="F151" s="450"/>
      <c r="G151" s="450"/>
      <c r="H151" s="450"/>
      <c r="I151" s="450"/>
      <c r="J151" s="451"/>
    </row>
    <row r="152" spans="1:12" ht="15" customHeight="1" x14ac:dyDescent="0.2">
      <c r="A152" s="449"/>
      <c r="B152" s="450"/>
      <c r="C152" s="450"/>
      <c r="D152" s="450"/>
      <c r="E152" s="450"/>
      <c r="F152" s="450"/>
      <c r="G152" s="450"/>
      <c r="H152" s="450"/>
      <c r="I152" s="450"/>
      <c r="J152" s="451"/>
    </row>
    <row r="153" spans="1:12" ht="15" customHeight="1" x14ac:dyDescent="0.2">
      <c r="A153" s="449"/>
      <c r="B153" s="450"/>
      <c r="C153" s="450"/>
      <c r="D153" s="450"/>
      <c r="E153" s="450"/>
      <c r="F153" s="450"/>
      <c r="G153" s="450"/>
      <c r="H153" s="450"/>
      <c r="I153" s="450"/>
      <c r="J153" s="451"/>
    </row>
    <row r="154" spans="1:12" ht="15" customHeight="1" x14ac:dyDescent="0.2">
      <c r="A154" s="449"/>
      <c r="B154" s="450"/>
      <c r="C154" s="450"/>
      <c r="D154" s="450"/>
      <c r="E154" s="450"/>
      <c r="F154" s="450"/>
      <c r="G154" s="450"/>
      <c r="H154" s="450"/>
      <c r="I154" s="450"/>
      <c r="J154" s="451"/>
    </row>
    <row r="155" spans="1:12" ht="15" customHeight="1" x14ac:dyDescent="0.2">
      <c r="A155" s="449"/>
      <c r="B155" s="450"/>
      <c r="C155" s="450"/>
      <c r="D155" s="450"/>
      <c r="E155" s="450"/>
      <c r="F155" s="450"/>
      <c r="G155" s="450"/>
      <c r="H155" s="450"/>
      <c r="I155" s="450"/>
      <c r="J155" s="451"/>
    </row>
    <row r="156" spans="1:12" ht="15" customHeight="1" x14ac:dyDescent="0.2">
      <c r="A156" s="449"/>
      <c r="B156" s="450"/>
      <c r="C156" s="450"/>
      <c r="D156" s="450"/>
      <c r="E156" s="450"/>
      <c r="F156" s="450"/>
      <c r="G156" s="450"/>
      <c r="H156" s="450"/>
      <c r="I156" s="450"/>
      <c r="J156" s="451"/>
    </row>
    <row r="157" spans="1:12" ht="15" customHeight="1" x14ac:dyDescent="0.2">
      <c r="A157" s="449"/>
      <c r="B157" s="450"/>
      <c r="C157" s="450"/>
      <c r="D157" s="450"/>
      <c r="E157" s="450"/>
      <c r="F157" s="450"/>
      <c r="G157" s="450"/>
      <c r="H157" s="450"/>
      <c r="I157" s="450"/>
      <c r="J157" s="451"/>
      <c r="L157" s="99"/>
    </row>
    <row r="158" spans="1:12" ht="15" customHeight="1" x14ac:dyDescent="0.2">
      <c r="A158" s="449"/>
      <c r="B158" s="450"/>
      <c r="C158" s="450"/>
      <c r="D158" s="450"/>
      <c r="E158" s="450"/>
      <c r="F158" s="450"/>
      <c r="G158" s="450"/>
      <c r="H158" s="450"/>
      <c r="I158" s="450"/>
      <c r="J158" s="451"/>
      <c r="L158" s="99"/>
    </row>
    <row r="159" spans="1:12" ht="15" customHeight="1" x14ac:dyDescent="0.2">
      <c r="A159" s="449"/>
      <c r="B159" s="450"/>
      <c r="C159" s="450"/>
      <c r="D159" s="450"/>
      <c r="E159" s="450"/>
      <c r="F159" s="450"/>
      <c r="G159" s="450"/>
      <c r="H159" s="450"/>
      <c r="I159" s="450"/>
      <c r="J159" s="451"/>
      <c r="L159" s="99"/>
    </row>
    <row r="160" spans="1:12" ht="15" customHeight="1" x14ac:dyDescent="0.2">
      <c r="A160" s="449"/>
      <c r="B160" s="450"/>
      <c r="C160" s="450"/>
      <c r="D160" s="450"/>
      <c r="E160" s="450"/>
      <c r="F160" s="450"/>
      <c r="G160" s="450"/>
      <c r="H160" s="450"/>
      <c r="I160" s="450"/>
      <c r="J160" s="451"/>
      <c r="L160" s="99"/>
    </row>
    <row r="161" spans="1:12" ht="15" customHeight="1" x14ac:dyDescent="0.2">
      <c r="A161" s="449"/>
      <c r="B161" s="450"/>
      <c r="C161" s="450"/>
      <c r="D161" s="450"/>
      <c r="E161" s="450"/>
      <c r="F161" s="450"/>
      <c r="G161" s="450"/>
      <c r="H161" s="450"/>
      <c r="I161" s="450"/>
      <c r="J161" s="451"/>
      <c r="L161" s="99"/>
    </row>
    <row r="162" spans="1:12" ht="15" customHeight="1" x14ac:dyDescent="0.2">
      <c r="A162" s="449"/>
      <c r="B162" s="450"/>
      <c r="C162" s="450"/>
      <c r="D162" s="450"/>
      <c r="E162" s="450"/>
      <c r="F162" s="450"/>
      <c r="G162" s="450"/>
      <c r="H162" s="450"/>
      <c r="I162" s="450"/>
      <c r="J162" s="451"/>
      <c r="L162" s="99"/>
    </row>
    <row r="163" spans="1:12" ht="15" customHeight="1" x14ac:dyDescent="0.2">
      <c r="A163" s="449"/>
      <c r="B163" s="450"/>
      <c r="C163" s="450"/>
      <c r="D163" s="450"/>
      <c r="E163" s="450"/>
      <c r="F163" s="450"/>
      <c r="G163" s="450"/>
      <c r="H163" s="450"/>
      <c r="I163" s="450"/>
      <c r="J163" s="451"/>
      <c r="L163" s="99"/>
    </row>
    <row r="164" spans="1:12" ht="15" customHeight="1" x14ac:dyDescent="0.2">
      <c r="A164" s="449"/>
      <c r="B164" s="450"/>
      <c r="C164" s="450"/>
      <c r="D164" s="450"/>
      <c r="E164" s="450"/>
      <c r="F164" s="450"/>
      <c r="G164" s="450"/>
      <c r="H164" s="450"/>
      <c r="I164" s="450"/>
      <c r="J164" s="451"/>
      <c r="L164" s="99"/>
    </row>
    <row r="165" spans="1:12" ht="15" customHeight="1" x14ac:dyDescent="0.2">
      <c r="A165" s="449"/>
      <c r="B165" s="450"/>
      <c r="C165" s="450"/>
      <c r="D165" s="450"/>
      <c r="E165" s="450"/>
      <c r="F165" s="450"/>
      <c r="G165" s="450"/>
      <c r="H165" s="450"/>
      <c r="I165" s="450"/>
      <c r="J165" s="451"/>
      <c r="L165" s="99"/>
    </row>
    <row r="166" spans="1:12" ht="14.25" customHeight="1" x14ac:dyDescent="0.2">
      <c r="A166" s="449"/>
      <c r="B166" s="450"/>
      <c r="C166" s="450"/>
      <c r="D166" s="450"/>
      <c r="E166" s="450"/>
      <c r="F166" s="450"/>
      <c r="G166" s="450"/>
      <c r="H166" s="450"/>
      <c r="I166" s="450"/>
      <c r="J166" s="451"/>
      <c r="L166" s="99"/>
    </row>
    <row r="167" spans="1:12" ht="15" hidden="1" customHeight="1" x14ac:dyDescent="0.2">
      <c r="A167" s="449"/>
      <c r="B167" s="450"/>
      <c r="C167" s="450"/>
      <c r="D167" s="450"/>
      <c r="E167" s="450"/>
      <c r="F167" s="450"/>
      <c r="G167" s="450"/>
      <c r="H167" s="450"/>
      <c r="I167" s="450"/>
      <c r="J167" s="451"/>
      <c r="L167" s="99"/>
    </row>
    <row r="168" spans="1:12" ht="15" hidden="1" customHeight="1" x14ac:dyDescent="0.2">
      <c r="A168" s="449"/>
      <c r="B168" s="450"/>
      <c r="C168" s="450"/>
      <c r="D168" s="450"/>
      <c r="E168" s="450"/>
      <c r="F168" s="450"/>
      <c r="G168" s="450"/>
      <c r="H168" s="450"/>
      <c r="I168" s="450"/>
      <c r="J168" s="451"/>
      <c r="L168" s="99"/>
    </row>
    <row r="169" spans="1:12" ht="15" hidden="1" customHeight="1" x14ac:dyDescent="0.2">
      <c r="A169" s="449"/>
      <c r="B169" s="450"/>
      <c r="C169" s="450"/>
      <c r="D169" s="450"/>
      <c r="E169" s="450"/>
      <c r="F169" s="450"/>
      <c r="G169" s="450"/>
      <c r="H169" s="450"/>
      <c r="I169" s="450"/>
      <c r="J169" s="451"/>
      <c r="L169" s="99"/>
    </row>
    <row r="170" spans="1:12" ht="15" hidden="1" customHeight="1" x14ac:dyDescent="0.2">
      <c r="A170" s="449"/>
      <c r="B170" s="450"/>
      <c r="C170" s="450"/>
      <c r="D170" s="450"/>
      <c r="E170" s="450"/>
      <c r="F170" s="450"/>
      <c r="G170" s="450"/>
      <c r="H170" s="450"/>
      <c r="I170" s="450"/>
      <c r="J170" s="451"/>
      <c r="K170" s="2"/>
      <c r="L170" s="2"/>
    </row>
    <row r="171" spans="1:12" ht="15" hidden="1" customHeight="1" x14ac:dyDescent="0.2">
      <c r="A171" s="449"/>
      <c r="B171" s="450"/>
      <c r="C171" s="450"/>
      <c r="D171" s="450"/>
      <c r="E171" s="450"/>
      <c r="F171" s="450"/>
      <c r="G171" s="450"/>
      <c r="H171" s="450"/>
      <c r="I171" s="450"/>
      <c r="J171" s="451"/>
    </row>
    <row r="172" spans="1:12" ht="15" hidden="1" customHeight="1" x14ac:dyDescent="0.2">
      <c r="A172" s="449"/>
      <c r="B172" s="450"/>
      <c r="C172" s="450"/>
      <c r="D172" s="450"/>
      <c r="E172" s="450"/>
      <c r="F172" s="450"/>
      <c r="G172" s="450"/>
      <c r="H172" s="450"/>
      <c r="I172" s="450"/>
      <c r="J172" s="451"/>
    </row>
    <row r="173" spans="1:12" ht="15" hidden="1" customHeight="1" x14ac:dyDescent="0.2">
      <c r="A173" s="449"/>
      <c r="B173" s="450"/>
      <c r="C173" s="450"/>
      <c r="D173" s="450"/>
      <c r="E173" s="450"/>
      <c r="F173" s="450"/>
      <c r="G173" s="450"/>
      <c r="H173" s="450"/>
      <c r="I173" s="450"/>
      <c r="J173" s="451"/>
    </row>
    <row r="174" spans="1:12" ht="15" hidden="1" customHeight="1" x14ac:dyDescent="0.2">
      <c r="A174" s="452"/>
      <c r="B174" s="453"/>
      <c r="C174" s="453"/>
      <c r="D174" s="453"/>
      <c r="E174" s="453"/>
      <c r="F174" s="453"/>
      <c r="G174" s="453"/>
      <c r="H174" s="453"/>
      <c r="I174" s="453"/>
      <c r="J174" s="454"/>
    </row>
    <row r="175" spans="1:12" ht="15" customHeight="1" x14ac:dyDescent="0.2">
      <c r="A175" s="143"/>
      <c r="B175" s="143"/>
      <c r="C175" s="143"/>
      <c r="D175" s="143"/>
      <c r="E175" s="143"/>
      <c r="F175" s="143"/>
      <c r="G175" s="143"/>
      <c r="H175" s="143"/>
      <c r="I175" s="143"/>
      <c r="J175" s="143"/>
    </row>
    <row r="176" spans="1:12" ht="15" customHeight="1" x14ac:dyDescent="0.2">
      <c r="A176" s="143"/>
      <c r="B176" s="143"/>
      <c r="C176" s="143"/>
      <c r="D176" s="143"/>
      <c r="E176" s="143"/>
      <c r="F176" s="143"/>
      <c r="G176" s="143"/>
      <c r="H176" s="143"/>
      <c r="I176" s="143"/>
      <c r="J176" s="143"/>
    </row>
    <row r="177" spans="1:20" ht="15.75" x14ac:dyDescent="0.25">
      <c r="A177" s="280" t="s">
        <v>847</v>
      </c>
      <c r="B177" s="281"/>
      <c r="C177" s="281"/>
      <c r="D177" s="281"/>
      <c r="E177" s="281"/>
      <c r="F177" s="281"/>
      <c r="G177" s="281"/>
      <c r="H177" s="278" t="str">
        <f>'CONTACT INFORMATION'!$A$24</f>
        <v>Los Angeles</v>
      </c>
      <c r="I177" s="278"/>
      <c r="J177" s="279"/>
      <c r="K177" s="119"/>
      <c r="L177" s="119"/>
      <c r="M177" s="119"/>
      <c r="N177" s="119"/>
      <c r="O177" s="119"/>
      <c r="P177" s="119"/>
      <c r="Q177" s="119"/>
      <c r="R177" s="119"/>
      <c r="S177" s="119"/>
      <c r="T177" s="119"/>
    </row>
    <row r="178" spans="1:20" ht="8.1" customHeight="1" x14ac:dyDescent="0.2">
      <c r="A178" s="124"/>
      <c r="B178" s="124"/>
      <c r="C178" s="124"/>
      <c r="D178" s="124"/>
      <c r="E178" s="124"/>
      <c r="F178" s="124"/>
      <c r="G178" s="124"/>
      <c r="H178" s="124"/>
      <c r="I178" s="124"/>
      <c r="J178" s="124"/>
    </row>
    <row r="179" spans="1:20" ht="15" x14ac:dyDescent="0.25">
      <c r="A179" s="387" t="s">
        <v>809</v>
      </c>
      <c r="B179" s="388"/>
      <c r="C179" s="388"/>
      <c r="D179" s="388"/>
      <c r="E179" s="388"/>
      <c r="F179" s="388"/>
      <c r="G179" s="388"/>
      <c r="H179" s="388"/>
      <c r="I179" s="388"/>
      <c r="J179" s="389"/>
    </row>
    <row r="180" spans="1:20" ht="12.75" customHeight="1" x14ac:dyDescent="0.2">
      <c r="A180" s="390" t="s">
        <v>853</v>
      </c>
      <c r="B180" s="391"/>
      <c r="C180" s="391"/>
      <c r="D180" s="392"/>
      <c r="E180" s="434" t="s">
        <v>935</v>
      </c>
      <c r="F180" s="435"/>
      <c r="G180" s="435"/>
      <c r="H180" s="435"/>
      <c r="I180" s="435"/>
      <c r="J180" s="436"/>
    </row>
    <row r="181" spans="1:20" ht="12.75" customHeight="1" x14ac:dyDescent="0.2">
      <c r="A181" s="399" t="s">
        <v>911</v>
      </c>
      <c r="B181" s="400"/>
      <c r="C181" s="400"/>
      <c r="D181" s="401"/>
      <c r="E181" s="437"/>
      <c r="F181" s="438"/>
      <c r="G181" s="438"/>
      <c r="H181" s="438"/>
      <c r="I181" s="438"/>
      <c r="J181" s="439"/>
    </row>
    <row r="182" spans="1:20" x14ac:dyDescent="0.2">
      <c r="A182" s="431" t="s">
        <v>912</v>
      </c>
      <c r="B182" s="432"/>
      <c r="C182" s="432"/>
      <c r="D182" s="432"/>
      <c r="E182" s="405"/>
      <c r="F182" s="406"/>
      <c r="G182" s="406"/>
      <c r="H182" s="406"/>
      <c r="I182" s="406"/>
      <c r="J182" s="407"/>
    </row>
    <row r="183" spans="1:20" s="119" customFormat="1" ht="27" customHeight="1" x14ac:dyDescent="0.2">
      <c r="A183" s="118"/>
      <c r="B183" s="158"/>
      <c r="C183" s="158"/>
      <c r="D183" s="158"/>
      <c r="E183" s="378" t="s">
        <v>535</v>
      </c>
      <c r="F183" s="379"/>
      <c r="G183" s="378" t="s">
        <v>533</v>
      </c>
      <c r="H183" s="379"/>
      <c r="I183" s="380" t="s">
        <v>848</v>
      </c>
      <c r="J183" s="381"/>
      <c r="K183"/>
      <c r="L183"/>
      <c r="M183"/>
      <c r="N183"/>
      <c r="O183"/>
      <c r="P183"/>
      <c r="Q183"/>
      <c r="R183"/>
      <c r="S183"/>
      <c r="T183"/>
    </row>
    <row r="184" spans="1:20" x14ac:dyDescent="0.2">
      <c r="A184" s="382" t="s">
        <v>527</v>
      </c>
      <c r="B184" s="383"/>
      <c r="C184" s="383"/>
      <c r="D184" s="384"/>
      <c r="E184" s="385"/>
      <c r="F184" s="385"/>
      <c r="G184" s="385">
        <v>596733</v>
      </c>
      <c r="H184" s="385"/>
      <c r="I184" s="386"/>
      <c r="J184" s="386"/>
    </row>
    <row r="185" spans="1:20" x14ac:dyDescent="0.2">
      <c r="A185" s="372" t="s">
        <v>528</v>
      </c>
      <c r="B185" s="373"/>
      <c r="C185" s="373"/>
      <c r="D185" s="374"/>
      <c r="E185" s="375"/>
      <c r="F185" s="375"/>
      <c r="G185" s="376">
        <v>995</v>
      </c>
      <c r="H185" s="376"/>
      <c r="I185" s="377"/>
      <c r="J185" s="377"/>
    </row>
    <row r="186" spans="1:20" x14ac:dyDescent="0.2">
      <c r="A186" s="382" t="s">
        <v>529</v>
      </c>
      <c r="B186" s="383"/>
      <c r="C186" s="383"/>
      <c r="D186" s="384"/>
      <c r="E186" s="385"/>
      <c r="F186" s="385"/>
      <c r="G186" s="385"/>
      <c r="H186" s="385"/>
      <c r="I186" s="386"/>
      <c r="J186" s="386"/>
    </row>
    <row r="187" spans="1:20" x14ac:dyDescent="0.2">
      <c r="A187" s="372" t="s">
        <v>530</v>
      </c>
      <c r="B187" s="373"/>
      <c r="C187" s="373"/>
      <c r="D187" s="374"/>
      <c r="E187" s="375"/>
      <c r="F187" s="375"/>
      <c r="G187" s="376"/>
      <c r="H187" s="376"/>
      <c r="I187" s="377"/>
      <c r="J187" s="377"/>
    </row>
    <row r="188" spans="1:20" x14ac:dyDescent="0.2">
      <c r="A188" s="382" t="s">
        <v>531</v>
      </c>
      <c r="B188" s="383"/>
      <c r="C188" s="383"/>
      <c r="D188" s="384"/>
      <c r="E188" s="385"/>
      <c r="F188" s="385"/>
      <c r="G188" s="385"/>
      <c r="H188" s="385"/>
      <c r="I188" s="386"/>
      <c r="J188" s="386"/>
    </row>
    <row r="189" spans="1:20" x14ac:dyDescent="0.2">
      <c r="A189" s="372" t="s">
        <v>532</v>
      </c>
      <c r="B189" s="373"/>
      <c r="C189" s="373"/>
      <c r="D189" s="374"/>
      <c r="E189" s="375"/>
      <c r="F189" s="375"/>
      <c r="G189" s="376"/>
      <c r="H189" s="376"/>
      <c r="I189" s="377"/>
      <c r="J189" s="377"/>
    </row>
    <row r="190" spans="1:20" x14ac:dyDescent="0.2">
      <c r="A190" s="382" t="s">
        <v>537</v>
      </c>
      <c r="B190" s="383"/>
      <c r="C190" s="383"/>
      <c r="D190" s="384"/>
      <c r="E190" s="418"/>
      <c r="F190" s="418"/>
      <c r="G190" s="418"/>
      <c r="H190" s="418"/>
      <c r="I190" s="419"/>
      <c r="J190" s="419"/>
    </row>
    <row r="191" spans="1:20" x14ac:dyDescent="0.2">
      <c r="A191" s="408"/>
      <c r="B191" s="409"/>
      <c r="C191" s="409"/>
      <c r="D191" s="410"/>
      <c r="E191" s="375"/>
      <c r="F191" s="375"/>
      <c r="G191" s="376"/>
      <c r="H191" s="376"/>
      <c r="I191" s="376"/>
      <c r="J191" s="376"/>
    </row>
    <row r="192" spans="1:20" x14ac:dyDescent="0.2">
      <c r="A192" s="408"/>
      <c r="B192" s="409"/>
      <c r="C192" s="409"/>
      <c r="D192" s="410"/>
      <c r="E192" s="375"/>
      <c r="F192" s="375"/>
      <c r="G192" s="376"/>
      <c r="H192" s="376"/>
      <c r="I192" s="376"/>
      <c r="J192" s="376"/>
    </row>
    <row r="193" spans="1:10" ht="12.75" customHeight="1" x14ac:dyDescent="0.2">
      <c r="A193" s="408"/>
      <c r="B193" s="409"/>
      <c r="C193" s="409"/>
      <c r="D193" s="410"/>
      <c r="E193" s="375"/>
      <c r="F193" s="375"/>
      <c r="G193" s="376"/>
      <c r="H193" s="376"/>
      <c r="I193" s="376"/>
      <c r="J193" s="376"/>
    </row>
    <row r="194" spans="1:10" x14ac:dyDescent="0.2">
      <c r="A194" s="411" t="s">
        <v>534</v>
      </c>
      <c r="B194" s="412"/>
      <c r="C194" s="412"/>
      <c r="D194" s="413"/>
      <c r="E194" s="414">
        <f>SUM(E184:E193)</f>
        <v>0</v>
      </c>
      <c r="F194" s="414"/>
      <c r="G194" s="414">
        <f>SUM(G184:G193)</f>
        <v>597728</v>
      </c>
      <c r="H194" s="414"/>
      <c r="I194" s="414">
        <f>SUM(I184:I193)</f>
        <v>0</v>
      </c>
      <c r="J194" s="414"/>
    </row>
    <row r="195" spans="1:10" ht="14.25" customHeight="1" x14ac:dyDescent="0.2">
      <c r="A195" s="415" t="s">
        <v>860</v>
      </c>
      <c r="B195" s="416"/>
      <c r="C195" s="416"/>
      <c r="D195" s="416"/>
      <c r="E195" s="416"/>
      <c r="F195" s="416"/>
      <c r="G195" s="416"/>
      <c r="H195" s="416"/>
      <c r="I195" s="416"/>
      <c r="J195" s="417"/>
    </row>
    <row r="196" spans="1:10" ht="14.25" customHeight="1" x14ac:dyDescent="0.2">
      <c r="A196" s="358" t="s">
        <v>861</v>
      </c>
      <c r="B196" s="359"/>
      <c r="C196" s="359"/>
      <c r="D196" s="359"/>
      <c r="E196" s="359"/>
      <c r="F196" s="359"/>
      <c r="G196" s="359"/>
      <c r="H196" s="359"/>
      <c r="I196" s="359"/>
      <c r="J196" s="360"/>
    </row>
    <row r="197" spans="1:10" ht="14.25" customHeight="1" x14ac:dyDescent="0.2">
      <c r="A197" s="358" t="s">
        <v>862</v>
      </c>
      <c r="B197" s="359"/>
      <c r="C197" s="359"/>
      <c r="D197" s="359"/>
      <c r="E197" s="359"/>
      <c r="F197" s="359"/>
      <c r="G197" s="359"/>
      <c r="H197" s="359"/>
      <c r="I197" s="359"/>
      <c r="J197" s="360"/>
    </row>
    <row r="198" spans="1:10" ht="14.25" customHeight="1" x14ac:dyDescent="0.2">
      <c r="A198" s="361" t="s">
        <v>863</v>
      </c>
      <c r="B198" s="362"/>
      <c r="C198" s="362"/>
      <c r="D198" s="362"/>
      <c r="E198" s="362"/>
      <c r="F198" s="362"/>
      <c r="G198" s="362"/>
      <c r="H198" s="362"/>
      <c r="I198" s="362"/>
      <c r="J198" s="363"/>
    </row>
    <row r="199" spans="1:10" ht="15.75" customHeight="1" x14ac:dyDescent="0.2">
      <c r="A199" s="233" t="s">
        <v>966</v>
      </c>
      <c r="B199" s="364"/>
      <c r="C199" s="364"/>
      <c r="D199" s="364"/>
      <c r="E199" s="364"/>
      <c r="F199" s="364"/>
      <c r="G199" s="364"/>
      <c r="H199" s="364"/>
      <c r="I199" s="364"/>
      <c r="J199" s="365"/>
    </row>
    <row r="200" spans="1:10" ht="15" customHeight="1" x14ac:dyDescent="0.2">
      <c r="A200" s="366"/>
      <c r="B200" s="367"/>
      <c r="C200" s="367"/>
      <c r="D200" s="367"/>
      <c r="E200" s="367"/>
      <c r="F200" s="367"/>
      <c r="G200" s="367"/>
      <c r="H200" s="367"/>
      <c r="I200" s="367"/>
      <c r="J200" s="368"/>
    </row>
    <row r="201" spans="1:10" ht="15" customHeight="1" x14ac:dyDescent="0.2">
      <c r="A201" s="366"/>
      <c r="B201" s="367"/>
      <c r="C201" s="367"/>
      <c r="D201" s="367"/>
      <c r="E201" s="367"/>
      <c r="F201" s="367"/>
      <c r="G201" s="367"/>
      <c r="H201" s="367"/>
      <c r="I201" s="367"/>
      <c r="J201" s="368"/>
    </row>
    <row r="202" spans="1:10" ht="15" customHeight="1" x14ac:dyDescent="0.2">
      <c r="A202" s="366"/>
      <c r="B202" s="367"/>
      <c r="C202" s="367"/>
      <c r="D202" s="367"/>
      <c r="E202" s="367"/>
      <c r="F202" s="367"/>
      <c r="G202" s="367"/>
      <c r="H202" s="367"/>
      <c r="I202" s="367"/>
      <c r="J202" s="368"/>
    </row>
    <row r="203" spans="1:10" ht="15" customHeight="1" x14ac:dyDescent="0.2">
      <c r="A203" s="366"/>
      <c r="B203" s="367"/>
      <c r="C203" s="367"/>
      <c r="D203" s="367"/>
      <c r="E203" s="367"/>
      <c r="F203" s="367"/>
      <c r="G203" s="367"/>
      <c r="H203" s="367"/>
      <c r="I203" s="367"/>
      <c r="J203" s="368"/>
    </row>
    <row r="204" spans="1:10" ht="15" customHeight="1" x14ac:dyDescent="0.2">
      <c r="A204" s="366"/>
      <c r="B204" s="367"/>
      <c r="C204" s="367"/>
      <c r="D204" s="367"/>
      <c r="E204" s="367"/>
      <c r="F204" s="367"/>
      <c r="G204" s="367"/>
      <c r="H204" s="367"/>
      <c r="I204" s="367"/>
      <c r="J204" s="368"/>
    </row>
    <row r="205" spans="1:10" ht="15" customHeight="1" x14ac:dyDescent="0.2">
      <c r="A205" s="366"/>
      <c r="B205" s="367"/>
      <c r="C205" s="367"/>
      <c r="D205" s="367"/>
      <c r="E205" s="367"/>
      <c r="F205" s="367"/>
      <c r="G205" s="367"/>
      <c r="H205" s="367"/>
      <c r="I205" s="367"/>
      <c r="J205" s="368"/>
    </row>
    <row r="206" spans="1:10" ht="15" customHeight="1" x14ac:dyDescent="0.2">
      <c r="A206" s="366"/>
      <c r="B206" s="367"/>
      <c r="C206" s="367"/>
      <c r="D206" s="367"/>
      <c r="E206" s="367"/>
      <c r="F206" s="367"/>
      <c r="G206" s="367"/>
      <c r="H206" s="367"/>
      <c r="I206" s="367"/>
      <c r="J206" s="368"/>
    </row>
    <row r="207" spans="1:10" ht="15" customHeight="1" x14ac:dyDescent="0.2">
      <c r="A207" s="366"/>
      <c r="B207" s="367"/>
      <c r="C207" s="367"/>
      <c r="D207" s="367"/>
      <c r="E207" s="367"/>
      <c r="F207" s="367"/>
      <c r="G207" s="367"/>
      <c r="H207" s="367"/>
      <c r="I207" s="367"/>
      <c r="J207" s="368"/>
    </row>
    <row r="208" spans="1:10" ht="15" customHeight="1" x14ac:dyDescent="0.2">
      <c r="A208" s="366"/>
      <c r="B208" s="367"/>
      <c r="C208" s="367"/>
      <c r="D208" s="367"/>
      <c r="E208" s="367"/>
      <c r="F208" s="367"/>
      <c r="G208" s="367"/>
      <c r="H208" s="367"/>
      <c r="I208" s="367"/>
      <c r="J208" s="368"/>
    </row>
    <row r="209" spans="1:12" ht="15" customHeight="1" x14ac:dyDescent="0.2">
      <c r="A209" s="366"/>
      <c r="B209" s="367"/>
      <c r="C209" s="367"/>
      <c r="D209" s="367"/>
      <c r="E209" s="367"/>
      <c r="F209" s="367"/>
      <c r="G209" s="367"/>
      <c r="H209" s="367"/>
      <c r="I209" s="367"/>
      <c r="J209" s="368"/>
    </row>
    <row r="210" spans="1:12" ht="15" customHeight="1" x14ac:dyDescent="0.2">
      <c r="A210" s="366"/>
      <c r="B210" s="367"/>
      <c r="C210" s="367"/>
      <c r="D210" s="367"/>
      <c r="E210" s="367"/>
      <c r="F210" s="367"/>
      <c r="G210" s="367"/>
      <c r="H210" s="367"/>
      <c r="I210" s="367"/>
      <c r="J210" s="368"/>
    </row>
    <row r="211" spans="1:12" ht="15" customHeight="1" x14ac:dyDescent="0.2">
      <c r="A211" s="366"/>
      <c r="B211" s="367"/>
      <c r="C211" s="367"/>
      <c r="D211" s="367"/>
      <c r="E211" s="367"/>
      <c r="F211" s="367"/>
      <c r="G211" s="367"/>
      <c r="H211" s="367"/>
      <c r="I211" s="367"/>
      <c r="J211" s="368"/>
    </row>
    <row r="212" spans="1:12" ht="15" customHeight="1" x14ac:dyDescent="0.2">
      <c r="A212" s="366"/>
      <c r="B212" s="367"/>
      <c r="C212" s="367"/>
      <c r="D212" s="367"/>
      <c r="E212" s="367"/>
      <c r="F212" s="367"/>
      <c r="G212" s="367"/>
      <c r="H212" s="367"/>
      <c r="I212" s="367"/>
      <c r="J212" s="368"/>
    </row>
    <row r="213" spans="1:12" ht="15" customHeight="1" x14ac:dyDescent="0.2">
      <c r="A213" s="366"/>
      <c r="B213" s="367"/>
      <c r="C213" s="367"/>
      <c r="D213" s="367"/>
      <c r="E213" s="367"/>
      <c r="F213" s="367"/>
      <c r="G213" s="367"/>
      <c r="H213" s="367"/>
      <c r="I213" s="367"/>
      <c r="J213" s="368"/>
    </row>
    <row r="214" spans="1:12" ht="15" customHeight="1" x14ac:dyDescent="0.2">
      <c r="A214" s="366"/>
      <c r="B214" s="367"/>
      <c r="C214" s="367"/>
      <c r="D214" s="367"/>
      <c r="E214" s="367"/>
      <c r="F214" s="367"/>
      <c r="G214" s="367"/>
      <c r="H214" s="367"/>
      <c r="I214" s="367"/>
      <c r="J214" s="368"/>
    </row>
    <row r="215" spans="1:12" ht="15" customHeight="1" x14ac:dyDescent="0.2">
      <c r="A215" s="366"/>
      <c r="B215" s="367"/>
      <c r="C215" s="367"/>
      <c r="D215" s="367"/>
      <c r="E215" s="367"/>
      <c r="F215" s="367"/>
      <c r="G215" s="367"/>
      <c r="H215" s="367"/>
      <c r="I215" s="367"/>
      <c r="J215" s="368"/>
    </row>
    <row r="216" spans="1:12" ht="15" customHeight="1" x14ac:dyDescent="0.2">
      <c r="A216" s="366"/>
      <c r="B216" s="367"/>
      <c r="C216" s="367"/>
      <c r="D216" s="367"/>
      <c r="E216" s="367"/>
      <c r="F216" s="367"/>
      <c r="G216" s="367"/>
      <c r="H216" s="367"/>
      <c r="I216" s="367"/>
      <c r="J216" s="368"/>
    </row>
    <row r="217" spans="1:12" ht="15" customHeight="1" x14ac:dyDescent="0.2">
      <c r="A217" s="366"/>
      <c r="B217" s="367"/>
      <c r="C217" s="367"/>
      <c r="D217" s="367"/>
      <c r="E217" s="367"/>
      <c r="F217" s="367"/>
      <c r="G217" s="367"/>
      <c r="H217" s="367"/>
      <c r="I217" s="367"/>
      <c r="J217" s="368"/>
    </row>
    <row r="218" spans="1:12" ht="15" customHeight="1" x14ac:dyDescent="0.2">
      <c r="A218" s="366"/>
      <c r="B218" s="367"/>
      <c r="C218" s="367"/>
      <c r="D218" s="367"/>
      <c r="E218" s="367"/>
      <c r="F218" s="367"/>
      <c r="G218" s="367"/>
      <c r="H218" s="367"/>
      <c r="I218" s="367"/>
      <c r="J218" s="368"/>
    </row>
    <row r="219" spans="1:12" ht="15" customHeight="1" x14ac:dyDescent="0.2">
      <c r="A219" s="366"/>
      <c r="B219" s="367"/>
      <c r="C219" s="367"/>
      <c r="D219" s="367"/>
      <c r="E219" s="367"/>
      <c r="F219" s="367"/>
      <c r="G219" s="367"/>
      <c r="H219" s="367"/>
      <c r="I219" s="367"/>
      <c r="J219" s="368"/>
    </row>
    <row r="220" spans="1:12" ht="15" customHeight="1" x14ac:dyDescent="0.2">
      <c r="A220" s="366"/>
      <c r="B220" s="367"/>
      <c r="C220" s="367"/>
      <c r="D220" s="367"/>
      <c r="E220" s="367"/>
      <c r="F220" s="367"/>
      <c r="G220" s="367"/>
      <c r="H220" s="367"/>
      <c r="I220" s="367"/>
      <c r="J220" s="368"/>
    </row>
    <row r="221" spans="1:12" ht="15" customHeight="1" x14ac:dyDescent="0.2">
      <c r="A221" s="366"/>
      <c r="B221" s="367"/>
      <c r="C221" s="367"/>
      <c r="D221" s="367"/>
      <c r="E221" s="367"/>
      <c r="F221" s="367"/>
      <c r="G221" s="367"/>
      <c r="H221" s="367"/>
      <c r="I221" s="367"/>
      <c r="J221" s="368"/>
      <c r="K221" s="2"/>
      <c r="L221" s="2"/>
    </row>
    <row r="222" spans="1:12" ht="15" customHeight="1" x14ac:dyDescent="0.2">
      <c r="A222" s="366"/>
      <c r="B222" s="367"/>
      <c r="C222" s="367"/>
      <c r="D222" s="367"/>
      <c r="E222" s="367"/>
      <c r="F222" s="367"/>
      <c r="G222" s="367"/>
      <c r="H222" s="367"/>
      <c r="I222" s="367"/>
      <c r="J222" s="368"/>
    </row>
    <row r="223" spans="1:12" ht="15" customHeight="1" x14ac:dyDescent="0.2">
      <c r="A223" s="366"/>
      <c r="B223" s="367"/>
      <c r="C223" s="367"/>
      <c r="D223" s="367"/>
      <c r="E223" s="367"/>
      <c r="F223" s="367"/>
      <c r="G223" s="367"/>
      <c r="H223" s="367"/>
      <c r="I223" s="367"/>
      <c r="J223" s="368"/>
    </row>
    <row r="224" spans="1:12" ht="15" customHeight="1" x14ac:dyDescent="0.2">
      <c r="A224" s="366"/>
      <c r="B224" s="367"/>
      <c r="C224" s="367"/>
      <c r="D224" s="367"/>
      <c r="E224" s="367"/>
      <c r="F224" s="367"/>
      <c r="G224" s="367"/>
      <c r="H224" s="367"/>
      <c r="I224" s="367"/>
      <c r="J224" s="368"/>
    </row>
    <row r="225" spans="1:10" ht="15" customHeight="1" x14ac:dyDescent="0.2">
      <c r="A225" s="366"/>
      <c r="B225" s="367"/>
      <c r="C225" s="367"/>
      <c r="D225" s="367"/>
      <c r="E225" s="367"/>
      <c r="F225" s="367"/>
      <c r="G225" s="367"/>
      <c r="H225" s="367"/>
      <c r="I225" s="367"/>
      <c r="J225" s="368"/>
    </row>
    <row r="226" spans="1:10" ht="15" customHeight="1" x14ac:dyDescent="0.2">
      <c r="A226" s="366"/>
      <c r="B226" s="367"/>
      <c r="C226" s="367"/>
      <c r="D226" s="367"/>
      <c r="E226" s="367"/>
      <c r="F226" s="367"/>
      <c r="G226" s="367"/>
      <c r="H226" s="367"/>
      <c r="I226" s="367"/>
      <c r="J226" s="368"/>
    </row>
    <row r="227" spans="1:10" ht="15" customHeight="1" x14ac:dyDescent="0.2">
      <c r="A227" s="366"/>
      <c r="B227" s="367"/>
      <c r="C227" s="367"/>
      <c r="D227" s="367"/>
      <c r="E227" s="367"/>
      <c r="F227" s="367"/>
      <c r="G227" s="367"/>
      <c r="H227" s="367"/>
      <c r="I227" s="367"/>
      <c r="J227" s="368"/>
    </row>
    <row r="228" spans="1:10" ht="15" customHeight="1" x14ac:dyDescent="0.2">
      <c r="A228" s="366"/>
      <c r="B228" s="367"/>
      <c r="C228" s="367"/>
      <c r="D228" s="367"/>
      <c r="E228" s="367"/>
      <c r="F228" s="367"/>
      <c r="G228" s="367"/>
      <c r="H228" s="367"/>
      <c r="I228" s="367"/>
      <c r="J228" s="368"/>
    </row>
    <row r="229" spans="1:10" ht="15" customHeight="1" x14ac:dyDescent="0.2">
      <c r="A229" s="366"/>
      <c r="B229" s="367"/>
      <c r="C229" s="367"/>
      <c r="D229" s="367"/>
      <c r="E229" s="367"/>
      <c r="F229" s="367"/>
      <c r="G229" s="367"/>
      <c r="H229" s="367"/>
      <c r="I229" s="367"/>
      <c r="J229" s="368"/>
    </row>
    <row r="230" spans="1:10" x14ac:dyDescent="0.2">
      <c r="A230" s="366"/>
      <c r="B230" s="367"/>
      <c r="C230" s="367"/>
      <c r="D230" s="367"/>
      <c r="E230" s="367"/>
      <c r="F230" s="367"/>
      <c r="G230" s="367"/>
      <c r="H230" s="367"/>
      <c r="I230" s="367"/>
      <c r="J230" s="368"/>
    </row>
    <row r="231" spans="1:10" ht="8.1" customHeight="1" x14ac:dyDescent="0.2">
      <c r="A231" s="366"/>
      <c r="B231" s="367"/>
      <c r="C231" s="367"/>
      <c r="D231" s="367"/>
      <c r="E231" s="367"/>
      <c r="F231" s="367"/>
      <c r="G231" s="367"/>
      <c r="H231" s="367"/>
      <c r="I231" s="367"/>
      <c r="J231" s="368"/>
    </row>
    <row r="232" spans="1:10" x14ac:dyDescent="0.2">
      <c r="A232" s="369"/>
      <c r="B232" s="370"/>
      <c r="C232" s="370"/>
      <c r="D232" s="370"/>
      <c r="E232" s="370"/>
      <c r="F232" s="370"/>
      <c r="G232" s="370"/>
      <c r="H232" s="370"/>
      <c r="I232" s="370"/>
      <c r="J232" s="371"/>
    </row>
    <row r="233" spans="1:10" ht="12.75" customHeight="1" x14ac:dyDescent="0.2">
      <c r="A233" s="390" t="s">
        <v>853</v>
      </c>
      <c r="B233" s="444"/>
      <c r="C233" s="444"/>
      <c r="D233" s="445"/>
      <c r="E233" s="434" t="s">
        <v>936</v>
      </c>
      <c r="F233" s="435"/>
      <c r="G233" s="435"/>
      <c r="H233" s="435"/>
      <c r="I233" s="435"/>
      <c r="J233" s="436"/>
    </row>
    <row r="234" spans="1:10" ht="12.75" customHeight="1" x14ac:dyDescent="0.2">
      <c r="A234" s="399" t="s">
        <v>911</v>
      </c>
      <c r="B234" s="400"/>
      <c r="C234" s="400"/>
      <c r="D234" s="401"/>
      <c r="E234" s="437"/>
      <c r="F234" s="438"/>
      <c r="G234" s="438"/>
      <c r="H234" s="438"/>
      <c r="I234" s="438"/>
      <c r="J234" s="439"/>
    </row>
    <row r="235" spans="1:10" x14ac:dyDescent="0.2">
      <c r="A235" s="460" t="s">
        <v>912</v>
      </c>
      <c r="B235" s="461"/>
      <c r="C235" s="461"/>
      <c r="D235" s="462"/>
      <c r="E235" s="405"/>
      <c r="F235" s="406"/>
      <c r="G235" s="406"/>
      <c r="H235" s="406"/>
      <c r="I235" s="406"/>
      <c r="J235" s="407"/>
    </row>
    <row r="236" spans="1:10" ht="27" customHeight="1" x14ac:dyDescent="0.2">
      <c r="A236" s="118"/>
      <c r="B236" s="158"/>
      <c r="C236" s="158"/>
      <c r="D236" s="158"/>
      <c r="E236" s="378" t="s">
        <v>535</v>
      </c>
      <c r="F236" s="379"/>
      <c r="G236" s="378" t="s">
        <v>533</v>
      </c>
      <c r="H236" s="379"/>
      <c r="I236" s="380" t="s">
        <v>848</v>
      </c>
      <c r="J236" s="381"/>
    </row>
    <row r="237" spans="1:10" x14ac:dyDescent="0.2">
      <c r="A237" s="382" t="s">
        <v>527</v>
      </c>
      <c r="B237" s="383"/>
      <c r="C237" s="383"/>
      <c r="D237" s="384"/>
      <c r="E237" s="385"/>
      <c r="F237" s="385"/>
      <c r="G237" s="458"/>
      <c r="H237" s="459"/>
      <c r="I237" s="386"/>
      <c r="J237" s="386"/>
    </row>
    <row r="238" spans="1:10" x14ac:dyDescent="0.2">
      <c r="A238" s="372" t="s">
        <v>528</v>
      </c>
      <c r="B238" s="373"/>
      <c r="C238" s="373"/>
      <c r="D238" s="374"/>
      <c r="E238" s="375"/>
      <c r="F238" s="375"/>
      <c r="G238" s="456"/>
      <c r="H238" s="457"/>
      <c r="I238" s="377"/>
      <c r="J238" s="377"/>
    </row>
    <row r="239" spans="1:10" x14ac:dyDescent="0.2">
      <c r="A239" s="382" t="s">
        <v>529</v>
      </c>
      <c r="B239" s="383"/>
      <c r="C239" s="383"/>
      <c r="D239" s="384"/>
      <c r="E239" s="385"/>
      <c r="F239" s="385"/>
      <c r="G239" s="458"/>
      <c r="H239" s="459"/>
      <c r="I239" s="386"/>
      <c r="J239" s="386"/>
    </row>
    <row r="240" spans="1:10" x14ac:dyDescent="0.2">
      <c r="A240" s="372" t="s">
        <v>530</v>
      </c>
      <c r="B240" s="373"/>
      <c r="C240" s="373"/>
      <c r="D240" s="374"/>
      <c r="E240" s="375"/>
      <c r="F240" s="375"/>
      <c r="G240" s="456"/>
      <c r="H240" s="457"/>
      <c r="I240" s="377"/>
      <c r="J240" s="377"/>
    </row>
    <row r="241" spans="1:10" x14ac:dyDescent="0.2">
      <c r="A241" s="382" t="s">
        <v>531</v>
      </c>
      <c r="B241" s="383"/>
      <c r="C241" s="383"/>
      <c r="D241" s="384"/>
      <c r="E241" s="385"/>
      <c r="F241" s="385"/>
      <c r="G241" s="385"/>
      <c r="H241" s="385"/>
      <c r="I241" s="386"/>
      <c r="J241" s="386"/>
    </row>
    <row r="242" spans="1:10" x14ac:dyDescent="0.2">
      <c r="A242" s="372" t="s">
        <v>532</v>
      </c>
      <c r="B242" s="373"/>
      <c r="C242" s="373"/>
      <c r="D242" s="374"/>
      <c r="E242" s="375"/>
      <c r="F242" s="375"/>
      <c r="G242" s="376"/>
      <c r="H242" s="376"/>
      <c r="I242" s="377"/>
      <c r="J242" s="377"/>
    </row>
    <row r="243" spans="1:10" x14ac:dyDescent="0.2">
      <c r="A243" s="382" t="s">
        <v>537</v>
      </c>
      <c r="B243" s="383"/>
      <c r="C243" s="383"/>
      <c r="D243" s="384"/>
      <c r="E243" s="418"/>
      <c r="F243" s="418"/>
      <c r="G243" s="418"/>
      <c r="H243" s="418"/>
      <c r="I243" s="419"/>
      <c r="J243" s="419"/>
    </row>
    <row r="244" spans="1:10" x14ac:dyDescent="0.2">
      <c r="A244" s="408"/>
      <c r="B244" s="409"/>
      <c r="C244" s="409"/>
      <c r="D244" s="410"/>
      <c r="E244" s="375"/>
      <c r="F244" s="375"/>
      <c r="G244" s="376"/>
      <c r="H244" s="376"/>
      <c r="I244" s="376"/>
      <c r="J244" s="376"/>
    </row>
    <row r="245" spans="1:10" x14ac:dyDescent="0.2">
      <c r="A245" s="408"/>
      <c r="B245" s="409"/>
      <c r="C245" s="409"/>
      <c r="D245" s="410"/>
      <c r="E245" s="375"/>
      <c r="F245" s="375"/>
      <c r="G245" s="376"/>
      <c r="H245" s="376"/>
      <c r="I245" s="376"/>
      <c r="J245" s="376"/>
    </row>
    <row r="246" spans="1:10" x14ac:dyDescent="0.2">
      <c r="A246" s="408"/>
      <c r="B246" s="409"/>
      <c r="C246" s="409"/>
      <c r="D246" s="410"/>
      <c r="E246" s="375"/>
      <c r="F246" s="375"/>
      <c r="G246" s="376"/>
      <c r="H246" s="376"/>
      <c r="I246" s="376"/>
      <c r="J246" s="376"/>
    </row>
    <row r="247" spans="1:10" x14ac:dyDescent="0.2">
      <c r="A247" s="411" t="s">
        <v>534</v>
      </c>
      <c r="B247" s="412"/>
      <c r="C247" s="412"/>
      <c r="D247" s="413"/>
      <c r="E247" s="414">
        <f>SUM(E237:E246)</f>
        <v>0</v>
      </c>
      <c r="F247" s="414"/>
      <c r="G247" s="414">
        <f>SUM(G237:G246)</f>
        <v>0</v>
      </c>
      <c r="H247" s="414"/>
      <c r="I247" s="414">
        <f>SUM(I237:I246)</f>
        <v>0</v>
      </c>
      <c r="J247" s="414"/>
    </row>
    <row r="248" spans="1:10" ht="12.75" customHeight="1" x14ac:dyDescent="0.2">
      <c r="A248" s="415" t="s">
        <v>860</v>
      </c>
      <c r="B248" s="416"/>
      <c r="C248" s="416"/>
      <c r="D248" s="416"/>
      <c r="E248" s="416"/>
      <c r="F248" s="416"/>
      <c r="G248" s="416"/>
      <c r="H248" s="416"/>
      <c r="I248" s="416"/>
      <c r="J248" s="417"/>
    </row>
    <row r="249" spans="1:10" ht="12.75" customHeight="1" x14ac:dyDescent="0.2">
      <c r="A249" s="358" t="s">
        <v>861</v>
      </c>
      <c r="B249" s="359"/>
      <c r="C249" s="359"/>
      <c r="D249" s="359"/>
      <c r="E249" s="359"/>
      <c r="F249" s="359"/>
      <c r="G249" s="359"/>
      <c r="H249" s="359"/>
      <c r="I249" s="359"/>
      <c r="J249" s="360"/>
    </row>
    <row r="250" spans="1:10" ht="12.75" customHeight="1" x14ac:dyDescent="0.2">
      <c r="A250" s="358" t="s">
        <v>862</v>
      </c>
      <c r="B250" s="359"/>
      <c r="C250" s="359"/>
      <c r="D250" s="359"/>
      <c r="E250" s="359"/>
      <c r="F250" s="359"/>
      <c r="G250" s="359"/>
      <c r="H250" s="359"/>
      <c r="I250" s="359"/>
      <c r="J250" s="360"/>
    </row>
    <row r="251" spans="1:10" ht="12.75" customHeight="1" x14ac:dyDescent="0.2">
      <c r="A251" s="361" t="s">
        <v>863</v>
      </c>
      <c r="B251" s="362"/>
      <c r="C251" s="362"/>
      <c r="D251" s="362"/>
      <c r="E251" s="362"/>
      <c r="F251" s="362"/>
      <c r="G251" s="362"/>
      <c r="H251" s="362"/>
      <c r="I251" s="362"/>
      <c r="J251" s="363"/>
    </row>
    <row r="252" spans="1:10" ht="12.75" customHeight="1" x14ac:dyDescent="0.2">
      <c r="A252" s="233" t="s">
        <v>981</v>
      </c>
      <c r="B252" s="364"/>
      <c r="C252" s="364"/>
      <c r="D252" s="364"/>
      <c r="E252" s="364"/>
      <c r="F252" s="364"/>
      <c r="G252" s="364"/>
      <c r="H252" s="364"/>
      <c r="I252" s="364"/>
      <c r="J252" s="365"/>
    </row>
    <row r="253" spans="1:10" x14ac:dyDescent="0.2">
      <c r="A253" s="366"/>
      <c r="B253" s="367"/>
      <c r="C253" s="367"/>
      <c r="D253" s="367"/>
      <c r="E253" s="367"/>
      <c r="F253" s="367"/>
      <c r="G253" s="367"/>
      <c r="H253" s="367"/>
      <c r="I253" s="367"/>
      <c r="J253" s="368"/>
    </row>
    <row r="254" spans="1:10" x14ac:dyDescent="0.2">
      <c r="A254" s="366"/>
      <c r="B254" s="367"/>
      <c r="C254" s="367"/>
      <c r="D254" s="367"/>
      <c r="E254" s="367"/>
      <c r="F254" s="367"/>
      <c r="G254" s="367"/>
      <c r="H254" s="367"/>
      <c r="I254" s="367"/>
      <c r="J254" s="368"/>
    </row>
    <row r="255" spans="1:10" x14ac:dyDescent="0.2">
      <c r="A255" s="366"/>
      <c r="B255" s="367"/>
      <c r="C255" s="367"/>
      <c r="D255" s="367"/>
      <c r="E255" s="367"/>
      <c r="F255" s="367"/>
      <c r="G255" s="367"/>
      <c r="H255" s="367"/>
      <c r="I255" s="367"/>
      <c r="J255" s="368"/>
    </row>
    <row r="256" spans="1:10" x14ac:dyDescent="0.2">
      <c r="A256" s="366"/>
      <c r="B256" s="367"/>
      <c r="C256" s="367"/>
      <c r="D256" s="367"/>
      <c r="E256" s="367"/>
      <c r="F256" s="367"/>
      <c r="G256" s="367"/>
      <c r="H256" s="367"/>
      <c r="I256" s="367"/>
      <c r="J256" s="368"/>
    </row>
    <row r="257" spans="1:10" x14ac:dyDescent="0.2">
      <c r="A257" s="366"/>
      <c r="B257" s="367"/>
      <c r="C257" s="367"/>
      <c r="D257" s="367"/>
      <c r="E257" s="367"/>
      <c r="F257" s="367"/>
      <c r="G257" s="367"/>
      <c r="H257" s="367"/>
      <c r="I257" s="367"/>
      <c r="J257" s="368"/>
    </row>
    <row r="258" spans="1:10" x14ac:dyDescent="0.2">
      <c r="A258" s="366"/>
      <c r="B258" s="367"/>
      <c r="C258" s="367"/>
      <c r="D258" s="367"/>
      <c r="E258" s="367"/>
      <c r="F258" s="367"/>
      <c r="G258" s="367"/>
      <c r="H258" s="367"/>
      <c r="I258" s="367"/>
      <c r="J258" s="368"/>
    </row>
    <row r="259" spans="1:10" x14ac:dyDescent="0.2">
      <c r="A259" s="366"/>
      <c r="B259" s="367"/>
      <c r="C259" s="367"/>
      <c r="D259" s="367"/>
      <c r="E259" s="367"/>
      <c r="F259" s="367"/>
      <c r="G259" s="367"/>
      <c r="H259" s="367"/>
      <c r="I259" s="367"/>
      <c r="J259" s="368"/>
    </row>
    <row r="260" spans="1:10" x14ac:dyDescent="0.2">
      <c r="A260" s="366"/>
      <c r="B260" s="367"/>
      <c r="C260" s="367"/>
      <c r="D260" s="367"/>
      <c r="E260" s="367"/>
      <c r="F260" s="367"/>
      <c r="G260" s="367"/>
      <c r="H260" s="367"/>
      <c r="I260" s="367"/>
      <c r="J260" s="368"/>
    </row>
    <row r="261" spans="1:10" x14ac:dyDescent="0.2">
      <c r="A261" s="366"/>
      <c r="B261" s="367"/>
      <c r="C261" s="367"/>
      <c r="D261" s="367"/>
      <c r="E261" s="367"/>
      <c r="F261" s="367"/>
      <c r="G261" s="367"/>
      <c r="H261" s="367"/>
      <c r="I261" s="367"/>
      <c r="J261" s="368"/>
    </row>
    <row r="262" spans="1:10" x14ac:dyDescent="0.2">
      <c r="A262" s="366"/>
      <c r="B262" s="367"/>
      <c r="C262" s="367"/>
      <c r="D262" s="367"/>
      <c r="E262" s="367"/>
      <c r="F262" s="367"/>
      <c r="G262" s="367"/>
      <c r="H262" s="367"/>
      <c r="I262" s="367"/>
      <c r="J262" s="368"/>
    </row>
    <row r="263" spans="1:10" x14ac:dyDescent="0.2">
      <c r="A263" s="366"/>
      <c r="B263" s="367"/>
      <c r="C263" s="367"/>
      <c r="D263" s="367"/>
      <c r="E263" s="367"/>
      <c r="F263" s="367"/>
      <c r="G263" s="367"/>
      <c r="H263" s="367"/>
      <c r="I263" s="367"/>
      <c r="J263" s="368"/>
    </row>
    <row r="264" spans="1:10" x14ac:dyDescent="0.2">
      <c r="A264" s="366"/>
      <c r="B264" s="367"/>
      <c r="C264" s="367"/>
      <c r="D264" s="367"/>
      <c r="E264" s="367"/>
      <c r="F264" s="367"/>
      <c r="G264" s="367"/>
      <c r="H264" s="367"/>
      <c r="I264" s="367"/>
      <c r="J264" s="368"/>
    </row>
    <row r="265" spans="1:10" x14ac:dyDescent="0.2">
      <c r="A265" s="366"/>
      <c r="B265" s="367"/>
      <c r="C265" s="367"/>
      <c r="D265" s="367"/>
      <c r="E265" s="367"/>
      <c r="F265" s="367"/>
      <c r="G265" s="367"/>
      <c r="H265" s="367"/>
      <c r="I265" s="367"/>
      <c r="J265" s="368"/>
    </row>
    <row r="266" spans="1:10" x14ac:dyDescent="0.2">
      <c r="A266" s="366"/>
      <c r="B266" s="367"/>
      <c r="C266" s="367"/>
      <c r="D266" s="367"/>
      <c r="E266" s="367"/>
      <c r="F266" s="367"/>
      <c r="G266" s="367"/>
      <c r="H266" s="367"/>
      <c r="I266" s="367"/>
      <c r="J266" s="368"/>
    </row>
    <row r="267" spans="1:10" x14ac:dyDescent="0.2">
      <c r="A267" s="366"/>
      <c r="B267" s="367"/>
      <c r="C267" s="367"/>
      <c r="D267" s="367"/>
      <c r="E267" s="367"/>
      <c r="F267" s="367"/>
      <c r="G267" s="367"/>
      <c r="H267" s="367"/>
      <c r="I267" s="367"/>
      <c r="J267" s="368"/>
    </row>
    <row r="268" spans="1:10" x14ac:dyDescent="0.2">
      <c r="A268" s="366"/>
      <c r="B268" s="367"/>
      <c r="C268" s="367"/>
      <c r="D268" s="367"/>
      <c r="E268" s="367"/>
      <c r="F268" s="367"/>
      <c r="G268" s="367"/>
      <c r="H268" s="367"/>
      <c r="I268" s="367"/>
      <c r="J268" s="368"/>
    </row>
    <row r="269" spans="1:10" x14ac:dyDescent="0.2">
      <c r="A269" s="366"/>
      <c r="B269" s="367"/>
      <c r="C269" s="367"/>
      <c r="D269" s="367"/>
      <c r="E269" s="367"/>
      <c r="F269" s="367"/>
      <c r="G269" s="367"/>
      <c r="H269" s="367"/>
      <c r="I269" s="367"/>
      <c r="J269" s="368"/>
    </row>
    <row r="270" spans="1:10" x14ac:dyDescent="0.2">
      <c r="A270" s="366"/>
      <c r="B270" s="367"/>
      <c r="C270" s="367"/>
      <c r="D270" s="367"/>
      <c r="E270" s="367"/>
      <c r="F270" s="367"/>
      <c r="G270" s="367"/>
      <c r="H270" s="367"/>
      <c r="I270" s="367"/>
      <c r="J270" s="368"/>
    </row>
    <row r="271" spans="1:10" x14ac:dyDescent="0.2">
      <c r="A271" s="366"/>
      <c r="B271" s="367"/>
      <c r="C271" s="367"/>
      <c r="D271" s="367"/>
      <c r="E271" s="367"/>
      <c r="F271" s="367"/>
      <c r="G271" s="367"/>
      <c r="H271" s="367"/>
      <c r="I271" s="367"/>
      <c r="J271" s="368"/>
    </row>
    <row r="272" spans="1:10" x14ac:dyDescent="0.2">
      <c r="A272" s="366"/>
      <c r="B272" s="367"/>
      <c r="C272" s="367"/>
      <c r="D272" s="367"/>
      <c r="E272" s="367"/>
      <c r="F272" s="367"/>
      <c r="G272" s="367"/>
      <c r="H272" s="367"/>
      <c r="I272" s="367"/>
      <c r="J272" s="368"/>
    </row>
    <row r="273" spans="1:10" x14ac:dyDescent="0.2">
      <c r="A273" s="366"/>
      <c r="B273" s="367"/>
      <c r="C273" s="367"/>
      <c r="D273" s="367"/>
      <c r="E273" s="367"/>
      <c r="F273" s="367"/>
      <c r="G273" s="367"/>
      <c r="H273" s="367"/>
      <c r="I273" s="367"/>
      <c r="J273" s="368"/>
    </row>
    <row r="274" spans="1:10" x14ac:dyDescent="0.2">
      <c r="A274" s="366"/>
      <c r="B274" s="367"/>
      <c r="C274" s="367"/>
      <c r="D274" s="367"/>
      <c r="E274" s="367"/>
      <c r="F274" s="367"/>
      <c r="G274" s="367"/>
      <c r="H274" s="367"/>
      <c r="I274" s="367"/>
      <c r="J274" s="368"/>
    </row>
    <row r="275" spans="1:10" x14ac:dyDescent="0.2">
      <c r="A275" s="366"/>
      <c r="B275" s="367"/>
      <c r="C275" s="367"/>
      <c r="D275" s="367"/>
      <c r="E275" s="367"/>
      <c r="F275" s="367"/>
      <c r="G275" s="367"/>
      <c r="H275" s="367"/>
      <c r="I275" s="367"/>
      <c r="J275" s="368"/>
    </row>
    <row r="276" spans="1:10" x14ac:dyDescent="0.2">
      <c r="A276" s="366"/>
      <c r="B276" s="367"/>
      <c r="C276" s="367"/>
      <c r="D276" s="367"/>
      <c r="E276" s="367"/>
      <c r="F276" s="367"/>
      <c r="G276" s="367"/>
      <c r="H276" s="367"/>
      <c r="I276" s="367"/>
      <c r="J276" s="368"/>
    </row>
    <row r="277" spans="1:10" x14ac:dyDescent="0.2">
      <c r="A277" s="366"/>
      <c r="B277" s="367"/>
      <c r="C277" s="367"/>
      <c r="D277" s="367"/>
      <c r="E277" s="367"/>
      <c r="F277" s="367"/>
      <c r="G277" s="367"/>
      <c r="H277" s="367"/>
      <c r="I277" s="367"/>
      <c r="J277" s="368"/>
    </row>
    <row r="278" spans="1:10" x14ac:dyDescent="0.2">
      <c r="A278" s="366"/>
      <c r="B278" s="367"/>
      <c r="C278" s="367"/>
      <c r="D278" s="367"/>
      <c r="E278" s="367"/>
      <c r="F278" s="367"/>
      <c r="G278" s="367"/>
      <c r="H278" s="367"/>
      <c r="I278" s="367"/>
      <c r="J278" s="368"/>
    </row>
    <row r="279" spans="1:10" x14ac:dyDescent="0.2">
      <c r="A279" s="366"/>
      <c r="B279" s="367"/>
      <c r="C279" s="367"/>
      <c r="D279" s="367"/>
      <c r="E279" s="367"/>
      <c r="F279" s="367"/>
      <c r="G279" s="367"/>
      <c r="H279" s="367"/>
      <c r="I279" s="367"/>
      <c r="J279" s="368"/>
    </row>
    <row r="280" spans="1:10" x14ac:dyDescent="0.2">
      <c r="A280" s="366"/>
      <c r="B280" s="367"/>
      <c r="C280" s="367"/>
      <c r="D280" s="367"/>
      <c r="E280" s="367"/>
      <c r="F280" s="367"/>
      <c r="G280" s="367"/>
      <c r="H280" s="367"/>
      <c r="I280" s="367"/>
      <c r="J280" s="368"/>
    </row>
    <row r="281" spans="1:10" x14ac:dyDescent="0.2">
      <c r="A281" s="366"/>
      <c r="B281" s="367"/>
      <c r="C281" s="367"/>
      <c r="D281" s="367"/>
      <c r="E281" s="367"/>
      <c r="F281" s="367"/>
      <c r="G281" s="367"/>
      <c r="H281" s="367"/>
      <c r="I281" s="367"/>
      <c r="J281" s="368"/>
    </row>
    <row r="282" spans="1:10" x14ac:dyDescent="0.2">
      <c r="A282" s="366"/>
      <c r="B282" s="367"/>
      <c r="C282" s="367"/>
      <c r="D282" s="367"/>
      <c r="E282" s="367"/>
      <c r="F282" s="367"/>
      <c r="G282" s="367"/>
      <c r="H282" s="367"/>
      <c r="I282" s="367"/>
      <c r="J282" s="368"/>
    </row>
    <row r="283" spans="1:10" x14ac:dyDescent="0.2">
      <c r="A283" s="366"/>
      <c r="B283" s="367"/>
      <c r="C283" s="367"/>
      <c r="D283" s="367"/>
      <c r="E283" s="367"/>
      <c r="F283" s="367"/>
      <c r="G283" s="367"/>
      <c r="H283" s="367"/>
      <c r="I283" s="367"/>
      <c r="J283" s="368"/>
    </row>
    <row r="284" spans="1:10" x14ac:dyDescent="0.2">
      <c r="A284" s="366"/>
      <c r="B284" s="367"/>
      <c r="C284" s="367"/>
      <c r="D284" s="367"/>
      <c r="E284" s="367"/>
      <c r="F284" s="367"/>
      <c r="G284" s="367"/>
      <c r="H284" s="367"/>
      <c r="I284" s="367"/>
      <c r="J284" s="368"/>
    </row>
    <row r="285" spans="1:10" x14ac:dyDescent="0.2">
      <c r="A285" s="369"/>
      <c r="B285" s="370"/>
      <c r="C285" s="370"/>
      <c r="D285" s="370"/>
      <c r="E285" s="370"/>
      <c r="F285" s="370"/>
      <c r="G285" s="370"/>
      <c r="H285" s="370"/>
      <c r="I285" s="370"/>
      <c r="J285" s="371"/>
    </row>
    <row r="288" spans="1:10" ht="15.75" x14ac:dyDescent="0.25">
      <c r="A288" s="280" t="s">
        <v>847</v>
      </c>
      <c r="B288" s="281"/>
      <c r="C288" s="281"/>
      <c r="D288" s="281"/>
      <c r="E288" s="281"/>
      <c r="F288" s="281"/>
      <c r="G288" s="281"/>
      <c r="H288" s="278" t="str">
        <f>'CONTACT INFORMATION'!$A$24</f>
        <v>Los Angeles</v>
      </c>
      <c r="I288" s="278"/>
      <c r="J288" s="279"/>
    </row>
    <row r="289" spans="1:10" ht="8.1" customHeight="1" x14ac:dyDescent="0.2">
      <c r="A289" s="124"/>
      <c r="B289" s="124"/>
      <c r="C289" s="124"/>
      <c r="D289" s="124"/>
      <c r="E289" s="124"/>
      <c r="F289" s="124"/>
      <c r="G289" s="124"/>
      <c r="H289" s="124"/>
      <c r="I289" s="124"/>
      <c r="J289" s="124"/>
    </row>
    <row r="290" spans="1:10" ht="15" x14ac:dyDescent="0.25">
      <c r="A290" s="387" t="s">
        <v>810</v>
      </c>
      <c r="B290" s="388"/>
      <c r="C290" s="388"/>
      <c r="D290" s="388"/>
      <c r="E290" s="388"/>
      <c r="F290" s="388"/>
      <c r="G290" s="388"/>
      <c r="H290" s="388"/>
      <c r="I290" s="388"/>
      <c r="J290" s="389"/>
    </row>
    <row r="291" spans="1:10" x14ac:dyDescent="0.2">
      <c r="A291" s="390" t="s">
        <v>853</v>
      </c>
      <c r="B291" s="391"/>
      <c r="C291" s="391"/>
      <c r="D291" s="392"/>
      <c r="E291" s="434" t="s">
        <v>937</v>
      </c>
      <c r="F291" s="435"/>
      <c r="G291" s="435"/>
      <c r="H291" s="435"/>
      <c r="I291" s="435"/>
      <c r="J291" s="436"/>
    </row>
    <row r="292" spans="1:10" x14ac:dyDescent="0.2">
      <c r="A292" s="399" t="s">
        <v>852</v>
      </c>
      <c r="B292" s="400"/>
      <c r="C292" s="400"/>
      <c r="D292" s="401"/>
      <c r="E292" s="437"/>
      <c r="F292" s="438"/>
      <c r="G292" s="438"/>
      <c r="H292" s="438"/>
      <c r="I292" s="438"/>
      <c r="J292" s="439"/>
    </row>
    <row r="293" spans="1:10" x14ac:dyDescent="0.2">
      <c r="A293" s="402" t="s">
        <v>808</v>
      </c>
      <c r="B293" s="403"/>
      <c r="C293" s="403"/>
      <c r="D293" s="404"/>
      <c r="E293" s="405"/>
      <c r="F293" s="406"/>
      <c r="G293" s="406"/>
      <c r="H293" s="406"/>
      <c r="I293" s="406"/>
      <c r="J293" s="407"/>
    </row>
    <row r="294" spans="1:10" ht="27" customHeight="1" x14ac:dyDescent="0.2">
      <c r="A294" s="118"/>
      <c r="B294" s="158"/>
      <c r="C294" s="158"/>
      <c r="D294" s="158"/>
      <c r="E294" s="378" t="s">
        <v>535</v>
      </c>
      <c r="F294" s="379"/>
      <c r="G294" s="378" t="s">
        <v>533</v>
      </c>
      <c r="H294" s="379"/>
      <c r="I294" s="380" t="s">
        <v>848</v>
      </c>
      <c r="J294" s="381"/>
    </row>
    <row r="295" spans="1:10" x14ac:dyDescent="0.2">
      <c r="A295" s="382" t="s">
        <v>527</v>
      </c>
      <c r="B295" s="383"/>
      <c r="C295" s="383"/>
      <c r="D295" s="384"/>
      <c r="E295" s="385"/>
      <c r="F295" s="385"/>
      <c r="G295" s="385">
        <v>504235</v>
      </c>
      <c r="H295" s="385"/>
      <c r="I295" s="386"/>
      <c r="J295" s="386"/>
    </row>
    <row r="296" spans="1:10" x14ac:dyDescent="0.2">
      <c r="A296" s="372" t="s">
        <v>528</v>
      </c>
      <c r="B296" s="373"/>
      <c r="C296" s="373"/>
      <c r="D296" s="374"/>
      <c r="E296" s="375"/>
      <c r="F296" s="375"/>
      <c r="G296" s="376">
        <v>3911</v>
      </c>
      <c r="H296" s="376"/>
      <c r="I296" s="377"/>
      <c r="J296" s="377"/>
    </row>
    <row r="297" spans="1:10" x14ac:dyDescent="0.2">
      <c r="A297" s="382" t="s">
        <v>529</v>
      </c>
      <c r="B297" s="383"/>
      <c r="C297" s="383"/>
      <c r="D297" s="384"/>
      <c r="E297" s="385"/>
      <c r="F297" s="385"/>
      <c r="G297" s="385"/>
      <c r="H297" s="385"/>
      <c r="I297" s="386"/>
      <c r="J297" s="386"/>
    </row>
    <row r="298" spans="1:10" x14ac:dyDescent="0.2">
      <c r="A298" s="372" t="s">
        <v>530</v>
      </c>
      <c r="B298" s="373"/>
      <c r="C298" s="373"/>
      <c r="D298" s="374"/>
      <c r="E298" s="375"/>
      <c r="F298" s="375"/>
      <c r="G298" s="376">
        <v>425943</v>
      </c>
      <c r="H298" s="376"/>
      <c r="I298" s="377"/>
      <c r="J298" s="377"/>
    </row>
    <row r="299" spans="1:10" x14ac:dyDescent="0.2">
      <c r="A299" s="382" t="s">
        <v>531</v>
      </c>
      <c r="B299" s="383"/>
      <c r="C299" s="383"/>
      <c r="D299" s="384"/>
      <c r="E299" s="385"/>
      <c r="F299" s="385"/>
      <c r="G299" s="385"/>
      <c r="H299" s="385"/>
      <c r="I299" s="386"/>
      <c r="J299" s="386"/>
    </row>
    <row r="300" spans="1:10" x14ac:dyDescent="0.2">
      <c r="A300" s="372" t="s">
        <v>532</v>
      </c>
      <c r="B300" s="373"/>
      <c r="C300" s="373"/>
      <c r="D300" s="374"/>
      <c r="E300" s="375"/>
      <c r="F300" s="375"/>
      <c r="G300" s="376"/>
      <c r="H300" s="376"/>
      <c r="I300" s="377"/>
      <c r="J300" s="377"/>
    </row>
    <row r="301" spans="1:10" x14ac:dyDescent="0.2">
      <c r="A301" s="382" t="s">
        <v>537</v>
      </c>
      <c r="B301" s="383"/>
      <c r="C301" s="383"/>
      <c r="D301" s="384"/>
      <c r="E301" s="418"/>
      <c r="F301" s="418"/>
      <c r="G301" s="418"/>
      <c r="H301" s="418"/>
      <c r="I301" s="419"/>
      <c r="J301" s="419"/>
    </row>
    <row r="302" spans="1:10" x14ac:dyDescent="0.2">
      <c r="A302" s="408"/>
      <c r="B302" s="409"/>
      <c r="C302" s="409"/>
      <c r="D302" s="410"/>
      <c r="E302" s="375"/>
      <c r="F302" s="375"/>
      <c r="G302" s="376"/>
      <c r="H302" s="376"/>
      <c r="I302" s="376"/>
      <c r="J302" s="376"/>
    </row>
    <row r="303" spans="1:10" x14ac:dyDescent="0.2">
      <c r="A303" s="408"/>
      <c r="B303" s="409"/>
      <c r="C303" s="409"/>
      <c r="D303" s="410"/>
      <c r="E303" s="375"/>
      <c r="F303" s="375"/>
      <c r="G303" s="376"/>
      <c r="H303" s="376"/>
      <c r="I303" s="376"/>
      <c r="J303" s="376"/>
    </row>
    <row r="304" spans="1:10" x14ac:dyDescent="0.2">
      <c r="A304" s="408"/>
      <c r="B304" s="409"/>
      <c r="C304" s="409"/>
      <c r="D304" s="410"/>
      <c r="E304" s="375"/>
      <c r="F304" s="375"/>
      <c r="G304" s="376"/>
      <c r="H304" s="376"/>
      <c r="I304" s="376"/>
      <c r="J304" s="376"/>
    </row>
    <row r="305" spans="1:10" x14ac:dyDescent="0.2">
      <c r="A305" s="411" t="s">
        <v>534</v>
      </c>
      <c r="B305" s="412"/>
      <c r="C305" s="412"/>
      <c r="D305" s="413"/>
      <c r="E305" s="414">
        <f>SUM(E295:E304)</f>
        <v>0</v>
      </c>
      <c r="F305" s="414"/>
      <c r="G305" s="414">
        <f>SUM(G295:G304)</f>
        <v>934089</v>
      </c>
      <c r="H305" s="414"/>
      <c r="I305" s="414">
        <f>SUM(I295:I304)</f>
        <v>0</v>
      </c>
      <c r="J305" s="414"/>
    </row>
    <row r="306" spans="1:10" x14ac:dyDescent="0.2">
      <c r="A306" s="415" t="s">
        <v>860</v>
      </c>
      <c r="B306" s="416"/>
      <c r="C306" s="416"/>
      <c r="D306" s="416"/>
      <c r="E306" s="416"/>
      <c r="F306" s="416"/>
      <c r="G306" s="416"/>
      <c r="H306" s="416"/>
      <c r="I306" s="416"/>
      <c r="J306" s="417"/>
    </row>
    <row r="307" spans="1:10" x14ac:dyDescent="0.2">
      <c r="A307" s="358" t="s">
        <v>861</v>
      </c>
      <c r="B307" s="359"/>
      <c r="C307" s="359"/>
      <c r="D307" s="359"/>
      <c r="E307" s="359"/>
      <c r="F307" s="359"/>
      <c r="G307" s="359"/>
      <c r="H307" s="359"/>
      <c r="I307" s="359"/>
      <c r="J307" s="360"/>
    </row>
    <row r="308" spans="1:10" x14ac:dyDescent="0.2">
      <c r="A308" s="358" t="s">
        <v>862</v>
      </c>
      <c r="B308" s="359"/>
      <c r="C308" s="359"/>
      <c r="D308" s="359"/>
      <c r="E308" s="359"/>
      <c r="F308" s="359"/>
      <c r="G308" s="359"/>
      <c r="H308" s="359"/>
      <c r="I308" s="359"/>
      <c r="J308" s="360"/>
    </row>
    <row r="309" spans="1:10" x14ac:dyDescent="0.2">
      <c r="A309" s="361" t="s">
        <v>863</v>
      </c>
      <c r="B309" s="362"/>
      <c r="C309" s="362"/>
      <c r="D309" s="362"/>
      <c r="E309" s="362"/>
      <c r="F309" s="362"/>
      <c r="G309" s="362"/>
      <c r="H309" s="362"/>
      <c r="I309" s="362"/>
      <c r="J309" s="363"/>
    </row>
    <row r="310" spans="1:10" x14ac:dyDescent="0.2">
      <c r="A310" s="233" t="s">
        <v>967</v>
      </c>
      <c r="B310" s="364"/>
      <c r="C310" s="364"/>
      <c r="D310" s="364"/>
      <c r="E310" s="364"/>
      <c r="F310" s="364"/>
      <c r="G310" s="364"/>
      <c r="H310" s="364"/>
      <c r="I310" s="364"/>
      <c r="J310" s="365"/>
    </row>
    <row r="311" spans="1:10" x14ac:dyDescent="0.2">
      <c r="A311" s="366"/>
      <c r="B311" s="367"/>
      <c r="C311" s="367"/>
      <c r="D311" s="367"/>
      <c r="E311" s="367"/>
      <c r="F311" s="367"/>
      <c r="G311" s="367"/>
      <c r="H311" s="367"/>
      <c r="I311" s="367"/>
      <c r="J311" s="368"/>
    </row>
    <row r="312" spans="1:10" x14ac:dyDescent="0.2">
      <c r="A312" s="366"/>
      <c r="B312" s="367"/>
      <c r="C312" s="367"/>
      <c r="D312" s="367"/>
      <c r="E312" s="367"/>
      <c r="F312" s="367"/>
      <c r="G312" s="367"/>
      <c r="H312" s="367"/>
      <c r="I312" s="367"/>
      <c r="J312" s="368"/>
    </row>
    <row r="313" spans="1:10" x14ac:dyDescent="0.2">
      <c r="A313" s="366"/>
      <c r="B313" s="367"/>
      <c r="C313" s="367"/>
      <c r="D313" s="367"/>
      <c r="E313" s="367"/>
      <c r="F313" s="367"/>
      <c r="G313" s="367"/>
      <c r="H313" s="367"/>
      <c r="I313" s="367"/>
      <c r="J313" s="368"/>
    </row>
    <row r="314" spans="1:10" x14ac:dyDescent="0.2">
      <c r="A314" s="366"/>
      <c r="B314" s="367"/>
      <c r="C314" s="367"/>
      <c r="D314" s="367"/>
      <c r="E314" s="367"/>
      <c r="F314" s="367"/>
      <c r="G314" s="367"/>
      <c r="H314" s="367"/>
      <c r="I314" s="367"/>
      <c r="J314" s="368"/>
    </row>
    <row r="315" spans="1:10" x14ac:dyDescent="0.2">
      <c r="A315" s="366"/>
      <c r="B315" s="367"/>
      <c r="C315" s="367"/>
      <c r="D315" s="367"/>
      <c r="E315" s="367"/>
      <c r="F315" s="367"/>
      <c r="G315" s="367"/>
      <c r="H315" s="367"/>
      <c r="I315" s="367"/>
      <c r="J315" s="368"/>
    </row>
    <row r="316" spans="1:10" x14ac:dyDescent="0.2">
      <c r="A316" s="366"/>
      <c r="B316" s="367"/>
      <c r="C316" s="367"/>
      <c r="D316" s="367"/>
      <c r="E316" s="367"/>
      <c r="F316" s="367"/>
      <c r="G316" s="367"/>
      <c r="H316" s="367"/>
      <c r="I316" s="367"/>
      <c r="J316" s="368"/>
    </row>
    <row r="317" spans="1:10" x14ac:dyDescent="0.2">
      <c r="A317" s="366"/>
      <c r="B317" s="367"/>
      <c r="C317" s="367"/>
      <c r="D317" s="367"/>
      <c r="E317" s="367"/>
      <c r="F317" s="367"/>
      <c r="G317" s="367"/>
      <c r="H317" s="367"/>
      <c r="I317" s="367"/>
      <c r="J317" s="368"/>
    </row>
    <row r="318" spans="1:10" x14ac:dyDescent="0.2">
      <c r="A318" s="366"/>
      <c r="B318" s="367"/>
      <c r="C318" s="367"/>
      <c r="D318" s="367"/>
      <c r="E318" s="367"/>
      <c r="F318" s="367"/>
      <c r="G318" s="367"/>
      <c r="H318" s="367"/>
      <c r="I318" s="367"/>
      <c r="J318" s="368"/>
    </row>
    <row r="319" spans="1:10" x14ac:dyDescent="0.2">
      <c r="A319" s="366"/>
      <c r="B319" s="367"/>
      <c r="C319" s="367"/>
      <c r="D319" s="367"/>
      <c r="E319" s="367"/>
      <c r="F319" s="367"/>
      <c r="G319" s="367"/>
      <c r="H319" s="367"/>
      <c r="I319" s="367"/>
      <c r="J319" s="368"/>
    </row>
    <row r="320" spans="1:10" x14ac:dyDescent="0.2">
      <c r="A320" s="366"/>
      <c r="B320" s="367"/>
      <c r="C320" s="367"/>
      <c r="D320" s="367"/>
      <c r="E320" s="367"/>
      <c r="F320" s="367"/>
      <c r="G320" s="367"/>
      <c r="H320" s="367"/>
      <c r="I320" s="367"/>
      <c r="J320" s="368"/>
    </row>
    <row r="321" spans="1:10" x14ac:dyDescent="0.2">
      <c r="A321" s="366"/>
      <c r="B321" s="367"/>
      <c r="C321" s="367"/>
      <c r="D321" s="367"/>
      <c r="E321" s="367"/>
      <c r="F321" s="367"/>
      <c r="G321" s="367"/>
      <c r="H321" s="367"/>
      <c r="I321" s="367"/>
      <c r="J321" s="368"/>
    </row>
    <row r="322" spans="1:10" x14ac:dyDescent="0.2">
      <c r="A322" s="366"/>
      <c r="B322" s="367"/>
      <c r="C322" s="367"/>
      <c r="D322" s="367"/>
      <c r="E322" s="367"/>
      <c r="F322" s="367"/>
      <c r="G322" s="367"/>
      <c r="H322" s="367"/>
      <c r="I322" s="367"/>
      <c r="J322" s="368"/>
    </row>
    <row r="323" spans="1:10" x14ac:dyDescent="0.2">
      <c r="A323" s="366"/>
      <c r="B323" s="367"/>
      <c r="C323" s="367"/>
      <c r="D323" s="367"/>
      <c r="E323" s="367"/>
      <c r="F323" s="367"/>
      <c r="G323" s="367"/>
      <c r="H323" s="367"/>
      <c r="I323" s="367"/>
      <c r="J323" s="368"/>
    </row>
    <row r="324" spans="1:10" x14ac:dyDescent="0.2">
      <c r="A324" s="366"/>
      <c r="B324" s="367"/>
      <c r="C324" s="367"/>
      <c r="D324" s="367"/>
      <c r="E324" s="367"/>
      <c r="F324" s="367"/>
      <c r="G324" s="367"/>
      <c r="H324" s="367"/>
      <c r="I324" s="367"/>
      <c r="J324" s="368"/>
    </row>
    <row r="325" spans="1:10" x14ac:dyDescent="0.2">
      <c r="A325" s="366"/>
      <c r="B325" s="367"/>
      <c r="C325" s="367"/>
      <c r="D325" s="367"/>
      <c r="E325" s="367"/>
      <c r="F325" s="367"/>
      <c r="G325" s="367"/>
      <c r="H325" s="367"/>
      <c r="I325" s="367"/>
      <c r="J325" s="368"/>
    </row>
    <row r="326" spans="1:10" x14ac:dyDescent="0.2">
      <c r="A326" s="366"/>
      <c r="B326" s="367"/>
      <c r="C326" s="367"/>
      <c r="D326" s="367"/>
      <c r="E326" s="367"/>
      <c r="F326" s="367"/>
      <c r="G326" s="367"/>
      <c r="H326" s="367"/>
      <c r="I326" s="367"/>
      <c r="J326" s="368"/>
    </row>
    <row r="327" spans="1:10" x14ac:dyDescent="0.2">
      <c r="A327" s="366"/>
      <c r="B327" s="367"/>
      <c r="C327" s="367"/>
      <c r="D327" s="367"/>
      <c r="E327" s="367"/>
      <c r="F327" s="367"/>
      <c r="G327" s="367"/>
      <c r="H327" s="367"/>
      <c r="I327" s="367"/>
      <c r="J327" s="368"/>
    </row>
    <row r="328" spans="1:10" x14ac:dyDescent="0.2">
      <c r="A328" s="366"/>
      <c r="B328" s="367"/>
      <c r="C328" s="367"/>
      <c r="D328" s="367"/>
      <c r="E328" s="367"/>
      <c r="F328" s="367"/>
      <c r="G328" s="367"/>
      <c r="H328" s="367"/>
      <c r="I328" s="367"/>
      <c r="J328" s="368"/>
    </row>
    <row r="329" spans="1:10" x14ac:dyDescent="0.2">
      <c r="A329" s="366"/>
      <c r="B329" s="367"/>
      <c r="C329" s="367"/>
      <c r="D329" s="367"/>
      <c r="E329" s="367"/>
      <c r="F329" s="367"/>
      <c r="G329" s="367"/>
      <c r="H329" s="367"/>
      <c r="I329" s="367"/>
      <c r="J329" s="368"/>
    </row>
    <row r="330" spans="1:10" x14ac:dyDescent="0.2">
      <c r="A330" s="366"/>
      <c r="B330" s="367"/>
      <c r="C330" s="367"/>
      <c r="D330" s="367"/>
      <c r="E330" s="367"/>
      <c r="F330" s="367"/>
      <c r="G330" s="367"/>
      <c r="H330" s="367"/>
      <c r="I330" s="367"/>
      <c r="J330" s="368"/>
    </row>
    <row r="331" spans="1:10" x14ac:dyDescent="0.2">
      <c r="A331" s="366"/>
      <c r="B331" s="367"/>
      <c r="C331" s="367"/>
      <c r="D331" s="367"/>
      <c r="E331" s="367"/>
      <c r="F331" s="367"/>
      <c r="G331" s="367"/>
      <c r="H331" s="367"/>
      <c r="I331" s="367"/>
      <c r="J331" s="368"/>
    </row>
    <row r="332" spans="1:10" x14ac:dyDescent="0.2">
      <c r="A332" s="366"/>
      <c r="B332" s="367"/>
      <c r="C332" s="367"/>
      <c r="D332" s="367"/>
      <c r="E332" s="367"/>
      <c r="F332" s="367"/>
      <c r="G332" s="367"/>
      <c r="H332" s="367"/>
      <c r="I332" s="367"/>
      <c r="J332" s="368"/>
    </row>
    <row r="333" spans="1:10" x14ac:dyDescent="0.2">
      <c r="A333" s="366"/>
      <c r="B333" s="367"/>
      <c r="C333" s="367"/>
      <c r="D333" s="367"/>
      <c r="E333" s="367"/>
      <c r="F333" s="367"/>
      <c r="G333" s="367"/>
      <c r="H333" s="367"/>
      <c r="I333" s="367"/>
      <c r="J333" s="368"/>
    </row>
    <row r="334" spans="1:10" x14ac:dyDescent="0.2">
      <c r="A334" s="366"/>
      <c r="B334" s="367"/>
      <c r="C334" s="367"/>
      <c r="D334" s="367"/>
      <c r="E334" s="367"/>
      <c r="F334" s="367"/>
      <c r="G334" s="367"/>
      <c r="H334" s="367"/>
      <c r="I334" s="367"/>
      <c r="J334" s="368"/>
    </row>
    <row r="335" spans="1:10" x14ac:dyDescent="0.2">
      <c r="A335" s="366"/>
      <c r="B335" s="367"/>
      <c r="C335" s="367"/>
      <c r="D335" s="367"/>
      <c r="E335" s="367"/>
      <c r="F335" s="367"/>
      <c r="G335" s="367"/>
      <c r="H335" s="367"/>
      <c r="I335" s="367"/>
      <c r="J335" s="368"/>
    </row>
    <row r="336" spans="1:10" x14ac:dyDescent="0.2">
      <c r="A336" s="366"/>
      <c r="B336" s="367"/>
      <c r="C336" s="367"/>
      <c r="D336" s="367"/>
      <c r="E336" s="367"/>
      <c r="F336" s="367"/>
      <c r="G336" s="367"/>
      <c r="H336" s="367"/>
      <c r="I336" s="367"/>
      <c r="J336" s="368"/>
    </row>
    <row r="337" spans="1:10" x14ac:dyDescent="0.2">
      <c r="A337" s="366"/>
      <c r="B337" s="367"/>
      <c r="C337" s="367"/>
      <c r="D337" s="367"/>
      <c r="E337" s="367"/>
      <c r="F337" s="367"/>
      <c r="G337" s="367"/>
      <c r="H337" s="367"/>
      <c r="I337" s="367"/>
      <c r="J337" s="368"/>
    </row>
    <row r="338" spans="1:10" x14ac:dyDescent="0.2">
      <c r="A338" s="366"/>
      <c r="B338" s="367"/>
      <c r="C338" s="367"/>
      <c r="D338" s="367"/>
      <c r="E338" s="367"/>
      <c r="F338" s="367"/>
      <c r="G338" s="367"/>
      <c r="H338" s="367"/>
      <c r="I338" s="367"/>
      <c r="J338" s="368"/>
    </row>
    <row r="339" spans="1:10" x14ac:dyDescent="0.2">
      <c r="A339" s="366"/>
      <c r="B339" s="367"/>
      <c r="C339" s="367"/>
      <c r="D339" s="367"/>
      <c r="E339" s="367"/>
      <c r="F339" s="367"/>
      <c r="G339" s="367"/>
      <c r="H339" s="367"/>
      <c r="I339" s="367"/>
      <c r="J339" s="368"/>
    </row>
    <row r="340" spans="1:10" x14ac:dyDescent="0.2">
      <c r="A340" s="366"/>
      <c r="B340" s="367"/>
      <c r="C340" s="367"/>
      <c r="D340" s="367"/>
      <c r="E340" s="367"/>
      <c r="F340" s="367"/>
      <c r="G340" s="367"/>
      <c r="H340" s="367"/>
      <c r="I340" s="367"/>
      <c r="J340" s="368"/>
    </row>
    <row r="341" spans="1:10" x14ac:dyDescent="0.2">
      <c r="A341" s="366"/>
      <c r="B341" s="367"/>
      <c r="C341" s="367"/>
      <c r="D341" s="367"/>
      <c r="E341" s="367"/>
      <c r="F341" s="367"/>
      <c r="G341" s="367"/>
      <c r="H341" s="367"/>
      <c r="I341" s="367"/>
      <c r="J341" s="368"/>
    </row>
    <row r="342" spans="1:10" x14ac:dyDescent="0.2">
      <c r="A342" s="366"/>
      <c r="B342" s="367"/>
      <c r="C342" s="367"/>
      <c r="D342" s="367"/>
      <c r="E342" s="367"/>
      <c r="F342" s="367"/>
      <c r="G342" s="367"/>
      <c r="H342" s="367"/>
      <c r="I342" s="367"/>
      <c r="J342" s="368"/>
    </row>
    <row r="343" spans="1:10" x14ac:dyDescent="0.2">
      <c r="A343" s="366"/>
      <c r="B343" s="367"/>
      <c r="C343" s="367"/>
      <c r="D343" s="367"/>
      <c r="E343" s="367"/>
      <c r="F343" s="367"/>
      <c r="G343" s="367"/>
      <c r="H343" s="367"/>
      <c r="I343" s="367"/>
      <c r="J343" s="368"/>
    </row>
    <row r="344" spans="1:10" x14ac:dyDescent="0.2">
      <c r="A344" s="369"/>
      <c r="B344" s="370"/>
      <c r="C344" s="370"/>
      <c r="D344" s="370"/>
      <c r="E344" s="370"/>
      <c r="F344" s="370"/>
      <c r="G344" s="370"/>
      <c r="H344" s="370"/>
      <c r="I344" s="370"/>
      <c r="J344" s="371"/>
    </row>
    <row r="346" spans="1:10" ht="15.75" x14ac:dyDescent="0.25">
      <c r="A346" s="280" t="s">
        <v>847</v>
      </c>
      <c r="B346" s="281"/>
      <c r="C346" s="281"/>
      <c r="D346" s="281"/>
      <c r="E346" s="281"/>
      <c r="F346" s="281"/>
      <c r="G346" s="281"/>
      <c r="H346" s="278" t="str">
        <f>'CONTACT INFORMATION'!$A$24</f>
        <v>Los Angeles</v>
      </c>
      <c r="I346" s="278"/>
      <c r="J346" s="279"/>
    </row>
    <row r="347" spans="1:10" ht="8.1" customHeight="1" x14ac:dyDescent="0.2">
      <c r="A347" s="124"/>
      <c r="B347" s="124"/>
      <c r="C347" s="124"/>
      <c r="D347" s="124"/>
      <c r="E347" s="124"/>
      <c r="F347" s="124"/>
      <c r="G347" s="124"/>
      <c r="H347" s="124"/>
      <c r="I347" s="124"/>
      <c r="J347" s="124"/>
    </row>
    <row r="348" spans="1:10" ht="15" x14ac:dyDescent="0.25">
      <c r="A348" s="387" t="s">
        <v>854</v>
      </c>
      <c r="B348" s="388"/>
      <c r="C348" s="388"/>
      <c r="D348" s="388"/>
      <c r="E348" s="388"/>
      <c r="F348" s="388"/>
      <c r="G348" s="388"/>
      <c r="H348" s="388"/>
      <c r="I348" s="388"/>
      <c r="J348" s="389"/>
    </row>
    <row r="349" spans="1:10" x14ac:dyDescent="0.2">
      <c r="A349" s="390" t="s">
        <v>853</v>
      </c>
      <c r="B349" s="391"/>
      <c r="C349" s="391"/>
      <c r="D349" s="392"/>
      <c r="E349" s="393" t="s">
        <v>938</v>
      </c>
      <c r="F349" s="394"/>
      <c r="G349" s="394"/>
      <c r="H349" s="394"/>
      <c r="I349" s="394"/>
      <c r="J349" s="395"/>
    </row>
    <row r="350" spans="1:10" x14ac:dyDescent="0.2">
      <c r="A350" s="399" t="s">
        <v>852</v>
      </c>
      <c r="B350" s="400"/>
      <c r="C350" s="400"/>
      <c r="D350" s="401"/>
      <c r="E350" s="396"/>
      <c r="F350" s="397"/>
      <c r="G350" s="397"/>
      <c r="H350" s="397"/>
      <c r="I350" s="397"/>
      <c r="J350" s="398"/>
    </row>
    <row r="351" spans="1:10" x14ac:dyDescent="0.2">
      <c r="A351" s="402" t="s">
        <v>808</v>
      </c>
      <c r="B351" s="403"/>
      <c r="C351" s="403"/>
      <c r="D351" s="404"/>
      <c r="E351" s="405"/>
      <c r="F351" s="406"/>
      <c r="G351" s="406"/>
      <c r="H351" s="406"/>
      <c r="I351" s="406"/>
      <c r="J351" s="407"/>
    </row>
    <row r="352" spans="1:10" ht="27" customHeight="1" x14ac:dyDescent="0.2">
      <c r="A352" s="118"/>
      <c r="B352" s="158"/>
      <c r="C352" s="158"/>
      <c r="D352" s="158"/>
      <c r="E352" s="378" t="s">
        <v>535</v>
      </c>
      <c r="F352" s="379"/>
      <c r="G352" s="378" t="s">
        <v>533</v>
      </c>
      <c r="H352" s="379"/>
      <c r="I352" s="380" t="s">
        <v>848</v>
      </c>
      <c r="J352" s="381"/>
    </row>
    <row r="353" spans="1:10" x14ac:dyDescent="0.2">
      <c r="A353" s="382" t="s">
        <v>527</v>
      </c>
      <c r="B353" s="383"/>
      <c r="C353" s="383"/>
      <c r="D353" s="384"/>
      <c r="E353" s="385"/>
      <c r="F353" s="385"/>
      <c r="G353" s="385"/>
      <c r="H353" s="385"/>
      <c r="I353" s="386"/>
      <c r="J353" s="386"/>
    </row>
    <row r="354" spans="1:10" x14ac:dyDescent="0.2">
      <c r="A354" s="372" t="s">
        <v>528</v>
      </c>
      <c r="B354" s="373"/>
      <c r="C354" s="373"/>
      <c r="D354" s="374"/>
      <c r="E354" s="375"/>
      <c r="F354" s="375"/>
      <c r="G354" s="376"/>
      <c r="H354" s="376"/>
      <c r="I354" s="377"/>
      <c r="J354" s="377"/>
    </row>
    <row r="355" spans="1:10" x14ac:dyDescent="0.2">
      <c r="A355" s="382" t="s">
        <v>529</v>
      </c>
      <c r="B355" s="383"/>
      <c r="C355" s="383"/>
      <c r="D355" s="384"/>
      <c r="E355" s="385">
        <v>76016</v>
      </c>
      <c r="F355" s="385"/>
      <c r="G355" s="385"/>
      <c r="H355" s="385"/>
      <c r="I355" s="386"/>
      <c r="J355" s="386"/>
    </row>
    <row r="356" spans="1:10" x14ac:dyDescent="0.2">
      <c r="A356" s="372" t="s">
        <v>530</v>
      </c>
      <c r="B356" s="373"/>
      <c r="C356" s="373"/>
      <c r="D356" s="374"/>
      <c r="E356" s="375">
        <v>4680332</v>
      </c>
      <c r="F356" s="375"/>
      <c r="G356" s="376"/>
      <c r="H356" s="376"/>
      <c r="I356" s="377"/>
      <c r="J356" s="377"/>
    </row>
    <row r="357" spans="1:10" x14ac:dyDescent="0.2">
      <c r="A357" s="382" t="s">
        <v>531</v>
      </c>
      <c r="B357" s="383"/>
      <c r="C357" s="383"/>
      <c r="D357" s="384"/>
      <c r="E357" s="385"/>
      <c r="F357" s="385"/>
      <c r="G357" s="385"/>
      <c r="H357" s="385"/>
      <c r="I357" s="386"/>
      <c r="J357" s="386"/>
    </row>
    <row r="358" spans="1:10" x14ac:dyDescent="0.2">
      <c r="A358" s="372" t="s">
        <v>532</v>
      </c>
      <c r="B358" s="373"/>
      <c r="C358" s="373"/>
      <c r="D358" s="374"/>
      <c r="E358" s="375">
        <v>21793</v>
      </c>
      <c r="F358" s="375"/>
      <c r="G358" s="376"/>
      <c r="H358" s="376"/>
      <c r="I358" s="377"/>
      <c r="J358" s="377"/>
    </row>
    <row r="359" spans="1:10" x14ac:dyDescent="0.2">
      <c r="A359" s="382" t="s">
        <v>537</v>
      </c>
      <c r="B359" s="383"/>
      <c r="C359" s="383"/>
      <c r="D359" s="384"/>
      <c r="E359" s="418"/>
      <c r="F359" s="418"/>
      <c r="G359" s="418"/>
      <c r="H359" s="418"/>
      <c r="I359" s="419"/>
      <c r="J359" s="419"/>
    </row>
    <row r="360" spans="1:10" x14ac:dyDescent="0.2">
      <c r="A360" s="408" t="s">
        <v>963</v>
      </c>
      <c r="B360" s="409"/>
      <c r="C360" s="409"/>
      <c r="D360" s="410"/>
      <c r="E360" s="375">
        <v>56185</v>
      </c>
      <c r="F360" s="375"/>
      <c r="G360" s="376"/>
      <c r="H360" s="376"/>
      <c r="I360" s="376"/>
      <c r="J360" s="376"/>
    </row>
    <row r="361" spans="1:10" x14ac:dyDescent="0.2">
      <c r="A361" s="408" t="s">
        <v>964</v>
      </c>
      <c r="B361" s="409"/>
      <c r="C361" s="409"/>
      <c r="D361" s="410"/>
      <c r="E361" s="375">
        <v>36215</v>
      </c>
      <c r="F361" s="375"/>
      <c r="G361" s="376"/>
      <c r="H361" s="376"/>
      <c r="I361" s="376"/>
      <c r="J361" s="376"/>
    </row>
    <row r="362" spans="1:10" x14ac:dyDescent="0.2">
      <c r="A362" s="408"/>
      <c r="B362" s="409"/>
      <c r="C362" s="409"/>
      <c r="D362" s="410"/>
      <c r="E362" s="375"/>
      <c r="F362" s="375"/>
      <c r="G362" s="376"/>
      <c r="H362" s="376"/>
      <c r="I362" s="376"/>
      <c r="J362" s="376"/>
    </row>
    <row r="363" spans="1:10" x14ac:dyDescent="0.2">
      <c r="A363" s="411" t="s">
        <v>534</v>
      </c>
      <c r="B363" s="412"/>
      <c r="C363" s="412"/>
      <c r="D363" s="413"/>
      <c r="E363" s="414">
        <f>SUM(E353:E362)</f>
        <v>4870541</v>
      </c>
      <c r="F363" s="414"/>
      <c r="G363" s="414">
        <f>SUM(G353:G362)</f>
        <v>0</v>
      </c>
      <c r="H363" s="414"/>
      <c r="I363" s="414">
        <f>SUM(I353:I362)</f>
        <v>0</v>
      </c>
      <c r="J363" s="414"/>
    </row>
    <row r="364" spans="1:10" x14ac:dyDescent="0.2">
      <c r="A364" s="415" t="s">
        <v>860</v>
      </c>
      <c r="B364" s="416"/>
      <c r="C364" s="416"/>
      <c r="D364" s="416"/>
      <c r="E364" s="416"/>
      <c r="F364" s="416"/>
      <c r="G364" s="416"/>
      <c r="H364" s="416"/>
      <c r="I364" s="416"/>
      <c r="J364" s="417"/>
    </row>
    <row r="365" spans="1:10" x14ac:dyDescent="0.2">
      <c r="A365" s="358" t="s">
        <v>861</v>
      </c>
      <c r="B365" s="359"/>
      <c r="C365" s="359"/>
      <c r="D365" s="359"/>
      <c r="E365" s="359"/>
      <c r="F365" s="359"/>
      <c r="G365" s="359"/>
      <c r="H365" s="359"/>
      <c r="I365" s="359"/>
      <c r="J365" s="360"/>
    </row>
    <row r="366" spans="1:10" x14ac:dyDescent="0.2">
      <c r="A366" s="358" t="s">
        <v>862</v>
      </c>
      <c r="B366" s="359"/>
      <c r="C366" s="359"/>
      <c r="D366" s="359"/>
      <c r="E366" s="359"/>
      <c r="F366" s="359"/>
      <c r="G366" s="359"/>
      <c r="H366" s="359"/>
      <c r="I366" s="359"/>
      <c r="J366" s="360"/>
    </row>
    <row r="367" spans="1:10" x14ac:dyDescent="0.2">
      <c r="A367" s="361" t="s">
        <v>863</v>
      </c>
      <c r="B367" s="362"/>
      <c r="C367" s="362"/>
      <c r="D367" s="362"/>
      <c r="E367" s="362"/>
      <c r="F367" s="362"/>
      <c r="G367" s="362"/>
      <c r="H367" s="362"/>
      <c r="I367" s="362"/>
      <c r="J367" s="363"/>
    </row>
    <row r="368" spans="1:10" ht="12.75" customHeight="1" x14ac:dyDescent="0.2">
      <c r="A368" s="233" t="s">
        <v>972</v>
      </c>
      <c r="B368" s="364"/>
      <c r="C368" s="364"/>
      <c r="D368" s="364"/>
      <c r="E368" s="364"/>
      <c r="F368" s="364"/>
      <c r="G368" s="364"/>
      <c r="H368" s="364"/>
      <c r="I368" s="364"/>
      <c r="J368" s="365"/>
    </row>
    <row r="369" spans="1:10" x14ac:dyDescent="0.2">
      <c r="A369" s="366"/>
      <c r="B369" s="367"/>
      <c r="C369" s="367"/>
      <c r="D369" s="367"/>
      <c r="E369" s="367"/>
      <c r="F369" s="367"/>
      <c r="G369" s="367"/>
      <c r="H369" s="367"/>
      <c r="I369" s="367"/>
      <c r="J369" s="368"/>
    </row>
    <row r="370" spans="1:10" x14ac:dyDescent="0.2">
      <c r="A370" s="366"/>
      <c r="B370" s="367"/>
      <c r="C370" s="367"/>
      <c r="D370" s="367"/>
      <c r="E370" s="367"/>
      <c r="F370" s="367"/>
      <c r="G370" s="367"/>
      <c r="H370" s="367"/>
      <c r="I370" s="367"/>
      <c r="J370" s="368"/>
    </row>
    <row r="371" spans="1:10" x14ac:dyDescent="0.2">
      <c r="A371" s="366"/>
      <c r="B371" s="367"/>
      <c r="C371" s="367"/>
      <c r="D371" s="367"/>
      <c r="E371" s="367"/>
      <c r="F371" s="367"/>
      <c r="G371" s="367"/>
      <c r="H371" s="367"/>
      <c r="I371" s="367"/>
      <c r="J371" s="368"/>
    </row>
    <row r="372" spans="1:10" x14ac:dyDescent="0.2">
      <c r="A372" s="366"/>
      <c r="B372" s="367"/>
      <c r="C372" s="367"/>
      <c r="D372" s="367"/>
      <c r="E372" s="367"/>
      <c r="F372" s="367"/>
      <c r="G372" s="367"/>
      <c r="H372" s="367"/>
      <c r="I372" s="367"/>
      <c r="J372" s="368"/>
    </row>
    <row r="373" spans="1:10" x14ac:dyDescent="0.2">
      <c r="A373" s="366"/>
      <c r="B373" s="367"/>
      <c r="C373" s="367"/>
      <c r="D373" s="367"/>
      <c r="E373" s="367"/>
      <c r="F373" s="367"/>
      <c r="G373" s="367"/>
      <c r="H373" s="367"/>
      <c r="I373" s="367"/>
      <c r="J373" s="368"/>
    </row>
    <row r="374" spans="1:10" x14ac:dyDescent="0.2">
      <c r="A374" s="366"/>
      <c r="B374" s="367"/>
      <c r="C374" s="367"/>
      <c r="D374" s="367"/>
      <c r="E374" s="367"/>
      <c r="F374" s="367"/>
      <c r="G374" s="367"/>
      <c r="H374" s="367"/>
      <c r="I374" s="367"/>
      <c r="J374" s="368"/>
    </row>
    <row r="375" spans="1:10" x14ac:dyDescent="0.2">
      <c r="A375" s="366"/>
      <c r="B375" s="367"/>
      <c r="C375" s="367"/>
      <c r="D375" s="367"/>
      <c r="E375" s="367"/>
      <c r="F375" s="367"/>
      <c r="G375" s="367"/>
      <c r="H375" s="367"/>
      <c r="I375" s="367"/>
      <c r="J375" s="368"/>
    </row>
    <row r="376" spans="1:10" x14ac:dyDescent="0.2">
      <c r="A376" s="366"/>
      <c r="B376" s="367"/>
      <c r="C376" s="367"/>
      <c r="D376" s="367"/>
      <c r="E376" s="367"/>
      <c r="F376" s="367"/>
      <c r="G376" s="367"/>
      <c r="H376" s="367"/>
      <c r="I376" s="367"/>
      <c r="J376" s="368"/>
    </row>
    <row r="377" spans="1:10" x14ac:dyDescent="0.2">
      <c r="A377" s="366"/>
      <c r="B377" s="367"/>
      <c r="C377" s="367"/>
      <c r="D377" s="367"/>
      <c r="E377" s="367"/>
      <c r="F377" s="367"/>
      <c r="G377" s="367"/>
      <c r="H377" s="367"/>
      <c r="I377" s="367"/>
      <c r="J377" s="368"/>
    </row>
    <row r="378" spans="1:10" x14ac:dyDescent="0.2">
      <c r="A378" s="366"/>
      <c r="B378" s="367"/>
      <c r="C378" s="367"/>
      <c r="D378" s="367"/>
      <c r="E378" s="367"/>
      <c r="F378" s="367"/>
      <c r="G378" s="367"/>
      <c r="H378" s="367"/>
      <c r="I378" s="367"/>
      <c r="J378" s="368"/>
    </row>
    <row r="379" spans="1:10" x14ac:dyDescent="0.2">
      <c r="A379" s="366"/>
      <c r="B379" s="367"/>
      <c r="C379" s="367"/>
      <c r="D379" s="367"/>
      <c r="E379" s="367"/>
      <c r="F379" s="367"/>
      <c r="G379" s="367"/>
      <c r="H379" s="367"/>
      <c r="I379" s="367"/>
      <c r="J379" s="368"/>
    </row>
    <row r="380" spans="1:10" x14ac:dyDescent="0.2">
      <c r="A380" s="366"/>
      <c r="B380" s="367"/>
      <c r="C380" s="367"/>
      <c r="D380" s="367"/>
      <c r="E380" s="367"/>
      <c r="F380" s="367"/>
      <c r="G380" s="367"/>
      <c r="H380" s="367"/>
      <c r="I380" s="367"/>
      <c r="J380" s="368"/>
    </row>
    <row r="381" spans="1:10" x14ac:dyDescent="0.2">
      <c r="A381" s="366"/>
      <c r="B381" s="367"/>
      <c r="C381" s="367"/>
      <c r="D381" s="367"/>
      <c r="E381" s="367"/>
      <c r="F381" s="367"/>
      <c r="G381" s="367"/>
      <c r="H381" s="367"/>
      <c r="I381" s="367"/>
      <c r="J381" s="368"/>
    </row>
    <row r="382" spans="1:10" x14ac:dyDescent="0.2">
      <c r="A382" s="366"/>
      <c r="B382" s="367"/>
      <c r="C382" s="367"/>
      <c r="D382" s="367"/>
      <c r="E382" s="367"/>
      <c r="F382" s="367"/>
      <c r="G382" s="367"/>
      <c r="H382" s="367"/>
      <c r="I382" s="367"/>
      <c r="J382" s="368"/>
    </row>
    <row r="383" spans="1:10" x14ac:dyDescent="0.2">
      <c r="A383" s="366"/>
      <c r="B383" s="367"/>
      <c r="C383" s="367"/>
      <c r="D383" s="367"/>
      <c r="E383" s="367"/>
      <c r="F383" s="367"/>
      <c r="G383" s="367"/>
      <c r="H383" s="367"/>
      <c r="I383" s="367"/>
      <c r="J383" s="368"/>
    </row>
    <row r="384" spans="1:10" x14ac:dyDescent="0.2">
      <c r="A384" s="366"/>
      <c r="B384" s="367"/>
      <c r="C384" s="367"/>
      <c r="D384" s="367"/>
      <c r="E384" s="367"/>
      <c r="F384" s="367"/>
      <c r="G384" s="367"/>
      <c r="H384" s="367"/>
      <c r="I384" s="367"/>
      <c r="J384" s="368"/>
    </row>
    <row r="385" spans="1:10" x14ac:dyDescent="0.2">
      <c r="A385" s="366"/>
      <c r="B385" s="367"/>
      <c r="C385" s="367"/>
      <c r="D385" s="367"/>
      <c r="E385" s="367"/>
      <c r="F385" s="367"/>
      <c r="G385" s="367"/>
      <c r="H385" s="367"/>
      <c r="I385" s="367"/>
      <c r="J385" s="368"/>
    </row>
    <row r="386" spans="1:10" x14ac:dyDescent="0.2">
      <c r="A386" s="366"/>
      <c r="B386" s="367"/>
      <c r="C386" s="367"/>
      <c r="D386" s="367"/>
      <c r="E386" s="367"/>
      <c r="F386" s="367"/>
      <c r="G386" s="367"/>
      <c r="H386" s="367"/>
      <c r="I386" s="367"/>
      <c r="J386" s="368"/>
    </row>
    <row r="387" spans="1:10" x14ac:dyDescent="0.2">
      <c r="A387" s="366"/>
      <c r="B387" s="367"/>
      <c r="C387" s="367"/>
      <c r="D387" s="367"/>
      <c r="E387" s="367"/>
      <c r="F387" s="367"/>
      <c r="G387" s="367"/>
      <c r="H387" s="367"/>
      <c r="I387" s="367"/>
      <c r="J387" s="368"/>
    </row>
    <row r="388" spans="1:10" x14ac:dyDescent="0.2">
      <c r="A388" s="366"/>
      <c r="B388" s="367"/>
      <c r="C388" s="367"/>
      <c r="D388" s="367"/>
      <c r="E388" s="367"/>
      <c r="F388" s="367"/>
      <c r="G388" s="367"/>
      <c r="H388" s="367"/>
      <c r="I388" s="367"/>
      <c r="J388" s="368"/>
    </row>
    <row r="389" spans="1:10" x14ac:dyDescent="0.2">
      <c r="A389" s="366"/>
      <c r="B389" s="367"/>
      <c r="C389" s="367"/>
      <c r="D389" s="367"/>
      <c r="E389" s="367"/>
      <c r="F389" s="367"/>
      <c r="G389" s="367"/>
      <c r="H389" s="367"/>
      <c r="I389" s="367"/>
      <c r="J389" s="368"/>
    </row>
    <row r="390" spans="1:10" x14ac:dyDescent="0.2">
      <c r="A390" s="366"/>
      <c r="B390" s="367"/>
      <c r="C390" s="367"/>
      <c r="D390" s="367"/>
      <c r="E390" s="367"/>
      <c r="F390" s="367"/>
      <c r="G390" s="367"/>
      <c r="H390" s="367"/>
      <c r="I390" s="367"/>
      <c r="J390" s="368"/>
    </row>
    <row r="391" spans="1:10" x14ac:dyDescent="0.2">
      <c r="A391" s="366"/>
      <c r="B391" s="367"/>
      <c r="C391" s="367"/>
      <c r="D391" s="367"/>
      <c r="E391" s="367"/>
      <c r="F391" s="367"/>
      <c r="G391" s="367"/>
      <c r="H391" s="367"/>
      <c r="I391" s="367"/>
      <c r="J391" s="368"/>
    </row>
    <row r="392" spans="1:10" x14ac:dyDescent="0.2">
      <c r="A392" s="366"/>
      <c r="B392" s="367"/>
      <c r="C392" s="367"/>
      <c r="D392" s="367"/>
      <c r="E392" s="367"/>
      <c r="F392" s="367"/>
      <c r="G392" s="367"/>
      <c r="H392" s="367"/>
      <c r="I392" s="367"/>
      <c r="J392" s="368"/>
    </row>
    <row r="393" spans="1:10" x14ac:dyDescent="0.2">
      <c r="A393" s="366"/>
      <c r="B393" s="367"/>
      <c r="C393" s="367"/>
      <c r="D393" s="367"/>
      <c r="E393" s="367"/>
      <c r="F393" s="367"/>
      <c r="G393" s="367"/>
      <c r="H393" s="367"/>
      <c r="I393" s="367"/>
      <c r="J393" s="368"/>
    </row>
    <row r="394" spans="1:10" x14ac:dyDescent="0.2">
      <c r="A394" s="366"/>
      <c r="B394" s="367"/>
      <c r="C394" s="367"/>
      <c r="D394" s="367"/>
      <c r="E394" s="367"/>
      <c r="F394" s="367"/>
      <c r="G394" s="367"/>
      <c r="H394" s="367"/>
      <c r="I394" s="367"/>
      <c r="J394" s="368"/>
    </row>
    <row r="395" spans="1:10" x14ac:dyDescent="0.2">
      <c r="A395" s="366"/>
      <c r="B395" s="367"/>
      <c r="C395" s="367"/>
      <c r="D395" s="367"/>
      <c r="E395" s="367"/>
      <c r="F395" s="367"/>
      <c r="G395" s="367"/>
      <c r="H395" s="367"/>
      <c r="I395" s="367"/>
      <c r="J395" s="368"/>
    </row>
    <row r="396" spans="1:10" x14ac:dyDescent="0.2">
      <c r="A396" s="366"/>
      <c r="B396" s="367"/>
      <c r="C396" s="367"/>
      <c r="D396" s="367"/>
      <c r="E396" s="367"/>
      <c r="F396" s="367"/>
      <c r="G396" s="367"/>
      <c r="H396" s="367"/>
      <c r="I396" s="367"/>
      <c r="J396" s="368"/>
    </row>
    <row r="397" spans="1:10" x14ac:dyDescent="0.2">
      <c r="A397" s="366"/>
      <c r="B397" s="367"/>
      <c r="C397" s="367"/>
      <c r="D397" s="367"/>
      <c r="E397" s="367"/>
      <c r="F397" s="367"/>
      <c r="G397" s="367"/>
      <c r="H397" s="367"/>
      <c r="I397" s="367"/>
      <c r="J397" s="368"/>
    </row>
    <row r="398" spans="1:10" x14ac:dyDescent="0.2">
      <c r="A398" s="366"/>
      <c r="B398" s="367"/>
      <c r="C398" s="367"/>
      <c r="D398" s="367"/>
      <c r="E398" s="367"/>
      <c r="F398" s="367"/>
      <c r="G398" s="367"/>
      <c r="H398" s="367"/>
      <c r="I398" s="367"/>
      <c r="J398" s="368"/>
    </row>
    <row r="399" spans="1:10" x14ac:dyDescent="0.2">
      <c r="A399" s="366"/>
      <c r="B399" s="367"/>
      <c r="C399" s="367"/>
      <c r="D399" s="367"/>
      <c r="E399" s="367"/>
      <c r="F399" s="367"/>
      <c r="G399" s="367"/>
      <c r="H399" s="367"/>
      <c r="I399" s="367"/>
      <c r="J399" s="368"/>
    </row>
    <row r="400" spans="1:10" x14ac:dyDescent="0.2">
      <c r="A400" s="366"/>
      <c r="B400" s="367"/>
      <c r="C400" s="367"/>
      <c r="D400" s="367"/>
      <c r="E400" s="367"/>
      <c r="F400" s="367"/>
      <c r="G400" s="367"/>
      <c r="H400" s="367"/>
      <c r="I400" s="367"/>
      <c r="J400" s="368"/>
    </row>
    <row r="401" spans="1:10" x14ac:dyDescent="0.2">
      <c r="A401" s="366"/>
      <c r="B401" s="367"/>
      <c r="C401" s="367"/>
      <c r="D401" s="367"/>
      <c r="E401" s="367"/>
      <c r="F401" s="367"/>
      <c r="G401" s="367"/>
      <c r="H401" s="367"/>
      <c r="I401" s="367"/>
      <c r="J401" s="368"/>
    </row>
    <row r="402" spans="1:10" ht="110.25" customHeight="1" x14ac:dyDescent="0.2">
      <c r="A402" s="369"/>
      <c r="B402" s="370"/>
      <c r="C402" s="370"/>
      <c r="D402" s="370"/>
      <c r="E402" s="370"/>
      <c r="F402" s="370"/>
      <c r="G402" s="370"/>
      <c r="H402" s="370"/>
      <c r="I402" s="370"/>
      <c r="J402" s="371"/>
    </row>
    <row r="404" spans="1:10" ht="15.75" x14ac:dyDescent="0.25">
      <c r="A404" s="280" t="s">
        <v>847</v>
      </c>
      <c r="B404" s="281"/>
      <c r="C404" s="281"/>
      <c r="D404" s="281"/>
      <c r="E404" s="281"/>
      <c r="F404" s="281"/>
      <c r="G404" s="281"/>
      <c r="H404" s="278" t="str">
        <f>'CONTACT INFORMATION'!$A$24</f>
        <v>Los Angeles</v>
      </c>
      <c r="I404" s="278"/>
      <c r="J404" s="279"/>
    </row>
    <row r="405" spans="1:10" ht="8.1" customHeight="1" x14ac:dyDescent="0.2">
      <c r="A405" s="124"/>
      <c r="B405" s="124"/>
      <c r="C405" s="124"/>
      <c r="D405" s="124"/>
      <c r="E405" s="124"/>
      <c r="F405" s="124"/>
      <c r="G405" s="124"/>
      <c r="H405" s="124"/>
      <c r="I405" s="124"/>
      <c r="J405" s="124"/>
    </row>
    <row r="406" spans="1:10" ht="15" x14ac:dyDescent="0.25">
      <c r="A406" s="387" t="s">
        <v>855</v>
      </c>
      <c r="B406" s="388"/>
      <c r="C406" s="388"/>
      <c r="D406" s="388"/>
      <c r="E406" s="388"/>
      <c r="F406" s="388"/>
      <c r="G406" s="388"/>
      <c r="H406" s="388"/>
      <c r="I406" s="388"/>
      <c r="J406" s="389"/>
    </row>
    <row r="407" spans="1:10" x14ac:dyDescent="0.2">
      <c r="A407" s="390" t="s">
        <v>853</v>
      </c>
      <c r="B407" s="391"/>
      <c r="C407" s="391"/>
      <c r="D407" s="392"/>
      <c r="E407" s="393" t="s">
        <v>939</v>
      </c>
      <c r="F407" s="394"/>
      <c r="G407" s="394"/>
      <c r="H407" s="394"/>
      <c r="I407" s="394"/>
      <c r="J407" s="395"/>
    </row>
    <row r="408" spans="1:10" x14ac:dyDescent="0.2">
      <c r="A408" s="399" t="s">
        <v>852</v>
      </c>
      <c r="B408" s="400"/>
      <c r="C408" s="400"/>
      <c r="D408" s="401"/>
      <c r="E408" s="396"/>
      <c r="F408" s="397"/>
      <c r="G408" s="397"/>
      <c r="H408" s="397"/>
      <c r="I408" s="397"/>
      <c r="J408" s="398"/>
    </row>
    <row r="409" spans="1:10" x14ac:dyDescent="0.2">
      <c r="A409" s="402" t="s">
        <v>808</v>
      </c>
      <c r="B409" s="403"/>
      <c r="C409" s="403"/>
      <c r="D409" s="404"/>
      <c r="E409" s="405"/>
      <c r="F409" s="406"/>
      <c r="G409" s="406"/>
      <c r="H409" s="406"/>
      <c r="I409" s="406"/>
      <c r="J409" s="407"/>
    </row>
    <row r="410" spans="1:10" ht="27" customHeight="1" x14ac:dyDescent="0.2">
      <c r="A410" s="118"/>
      <c r="B410" s="158"/>
      <c r="C410" s="158"/>
      <c r="D410" s="158"/>
      <c r="E410" s="378" t="s">
        <v>535</v>
      </c>
      <c r="F410" s="379"/>
      <c r="G410" s="378" t="s">
        <v>533</v>
      </c>
      <c r="H410" s="379"/>
      <c r="I410" s="380" t="s">
        <v>848</v>
      </c>
      <c r="J410" s="381"/>
    </row>
    <row r="411" spans="1:10" x14ac:dyDescent="0.2">
      <c r="A411" s="382" t="s">
        <v>527</v>
      </c>
      <c r="B411" s="383"/>
      <c r="C411" s="383"/>
      <c r="D411" s="384"/>
      <c r="E411" s="385"/>
      <c r="F411" s="385"/>
      <c r="G411" s="385"/>
      <c r="H411" s="385"/>
      <c r="I411" s="386"/>
      <c r="J411" s="386"/>
    </row>
    <row r="412" spans="1:10" x14ac:dyDescent="0.2">
      <c r="A412" s="372" t="s">
        <v>528</v>
      </c>
      <c r="B412" s="373"/>
      <c r="C412" s="373"/>
      <c r="D412" s="374"/>
      <c r="E412" s="375">
        <v>1269825</v>
      </c>
      <c r="F412" s="375"/>
      <c r="G412" s="376"/>
      <c r="H412" s="376"/>
      <c r="I412" s="377"/>
      <c r="J412" s="377"/>
    </row>
    <row r="413" spans="1:10" x14ac:dyDescent="0.2">
      <c r="A413" s="382" t="s">
        <v>529</v>
      </c>
      <c r="B413" s="383"/>
      <c r="C413" s="383"/>
      <c r="D413" s="384"/>
      <c r="E413" s="385">
        <v>20624</v>
      </c>
      <c r="F413" s="385"/>
      <c r="G413" s="385"/>
      <c r="H413" s="385"/>
      <c r="I413" s="386"/>
      <c r="J413" s="386"/>
    </row>
    <row r="414" spans="1:10" x14ac:dyDescent="0.2">
      <c r="A414" s="372" t="s">
        <v>530</v>
      </c>
      <c r="B414" s="373"/>
      <c r="C414" s="373"/>
      <c r="D414" s="374"/>
      <c r="E414" s="375"/>
      <c r="F414" s="375"/>
      <c r="G414" s="376"/>
      <c r="H414" s="376"/>
      <c r="I414" s="377"/>
      <c r="J414" s="377"/>
    </row>
    <row r="415" spans="1:10" x14ac:dyDescent="0.2">
      <c r="A415" s="382" t="s">
        <v>531</v>
      </c>
      <c r="B415" s="383"/>
      <c r="C415" s="383"/>
      <c r="D415" s="384"/>
      <c r="E415" s="385"/>
      <c r="F415" s="385"/>
      <c r="G415" s="385"/>
      <c r="H415" s="385"/>
      <c r="I415" s="386"/>
      <c r="J415" s="386"/>
    </row>
    <row r="416" spans="1:10" x14ac:dyDescent="0.2">
      <c r="A416" s="372" t="s">
        <v>532</v>
      </c>
      <c r="B416" s="373"/>
      <c r="C416" s="373"/>
      <c r="D416" s="374"/>
      <c r="E416" s="375">
        <v>5912</v>
      </c>
      <c r="F416" s="375"/>
      <c r="G416" s="376"/>
      <c r="H416" s="376"/>
      <c r="I416" s="377"/>
      <c r="J416" s="377"/>
    </row>
    <row r="417" spans="1:10" x14ac:dyDescent="0.2">
      <c r="A417" s="382" t="s">
        <v>537</v>
      </c>
      <c r="B417" s="383"/>
      <c r="C417" s="383"/>
      <c r="D417" s="384"/>
      <c r="E417" s="418"/>
      <c r="F417" s="418"/>
      <c r="G417" s="418"/>
      <c r="H417" s="418"/>
      <c r="I417" s="419"/>
      <c r="J417" s="419"/>
    </row>
    <row r="418" spans="1:10" x14ac:dyDescent="0.2">
      <c r="A418" s="408" t="s">
        <v>963</v>
      </c>
      <c r="B418" s="409"/>
      <c r="C418" s="409"/>
      <c r="D418" s="410"/>
      <c r="E418" s="375">
        <v>15244</v>
      </c>
      <c r="F418" s="375"/>
      <c r="G418" s="376"/>
      <c r="H418" s="376"/>
      <c r="I418" s="376"/>
      <c r="J418" s="376"/>
    </row>
    <row r="419" spans="1:10" x14ac:dyDescent="0.2">
      <c r="A419" s="408" t="s">
        <v>964</v>
      </c>
      <c r="B419" s="409"/>
      <c r="C419" s="409"/>
      <c r="D419" s="410"/>
      <c r="E419" s="375">
        <v>9826</v>
      </c>
      <c r="F419" s="375"/>
      <c r="G419" s="376"/>
      <c r="H419" s="376"/>
      <c r="I419" s="376"/>
      <c r="J419" s="376"/>
    </row>
    <row r="420" spans="1:10" x14ac:dyDescent="0.2">
      <c r="A420" s="408"/>
      <c r="B420" s="409"/>
      <c r="C420" s="409"/>
      <c r="D420" s="410"/>
      <c r="E420" s="375"/>
      <c r="F420" s="375"/>
      <c r="G420" s="376"/>
      <c r="H420" s="376"/>
      <c r="I420" s="376"/>
      <c r="J420" s="376"/>
    </row>
    <row r="421" spans="1:10" x14ac:dyDescent="0.2">
      <c r="A421" s="411" t="s">
        <v>534</v>
      </c>
      <c r="B421" s="412"/>
      <c r="C421" s="412"/>
      <c r="D421" s="413"/>
      <c r="E421" s="414">
        <f>SUM(E411:E420)</f>
        <v>1321431</v>
      </c>
      <c r="F421" s="414"/>
      <c r="G421" s="414">
        <f>SUM(G411:G420)</f>
        <v>0</v>
      </c>
      <c r="H421" s="414"/>
      <c r="I421" s="414">
        <f>SUM(I411:I420)</f>
        <v>0</v>
      </c>
      <c r="J421" s="414"/>
    </row>
    <row r="422" spans="1:10" x14ac:dyDescent="0.2">
      <c r="A422" s="415" t="s">
        <v>860</v>
      </c>
      <c r="B422" s="416"/>
      <c r="C422" s="416"/>
      <c r="D422" s="416"/>
      <c r="E422" s="416"/>
      <c r="F422" s="416"/>
      <c r="G422" s="416"/>
      <c r="H422" s="416"/>
      <c r="I422" s="416"/>
      <c r="J422" s="417"/>
    </row>
    <row r="423" spans="1:10" x14ac:dyDescent="0.2">
      <c r="A423" s="358" t="s">
        <v>861</v>
      </c>
      <c r="B423" s="359"/>
      <c r="C423" s="359"/>
      <c r="D423" s="359"/>
      <c r="E423" s="359"/>
      <c r="F423" s="359"/>
      <c r="G423" s="359"/>
      <c r="H423" s="359"/>
      <c r="I423" s="359"/>
      <c r="J423" s="360"/>
    </row>
    <row r="424" spans="1:10" x14ac:dyDescent="0.2">
      <c r="A424" s="358" t="s">
        <v>862</v>
      </c>
      <c r="B424" s="359"/>
      <c r="C424" s="359"/>
      <c r="D424" s="359"/>
      <c r="E424" s="359"/>
      <c r="F424" s="359"/>
      <c r="G424" s="359"/>
      <c r="H424" s="359"/>
      <c r="I424" s="359"/>
      <c r="J424" s="360"/>
    </row>
    <row r="425" spans="1:10" x14ac:dyDescent="0.2">
      <c r="A425" s="361" t="s">
        <v>863</v>
      </c>
      <c r="B425" s="362"/>
      <c r="C425" s="362"/>
      <c r="D425" s="362"/>
      <c r="E425" s="362"/>
      <c r="F425" s="362"/>
      <c r="G425" s="362"/>
      <c r="H425" s="362"/>
      <c r="I425" s="362"/>
      <c r="J425" s="363"/>
    </row>
    <row r="426" spans="1:10" ht="12.75" customHeight="1" x14ac:dyDescent="0.2">
      <c r="A426" s="337" t="s">
        <v>978</v>
      </c>
      <c r="B426" s="463"/>
      <c r="C426" s="463"/>
      <c r="D426" s="463"/>
      <c r="E426" s="463"/>
      <c r="F426" s="463"/>
      <c r="G426" s="463"/>
      <c r="H426" s="463"/>
      <c r="I426" s="463"/>
      <c r="J426" s="464"/>
    </row>
    <row r="427" spans="1:10" x14ac:dyDescent="0.2">
      <c r="A427" s="465"/>
      <c r="B427" s="466"/>
      <c r="C427" s="466"/>
      <c r="D427" s="466"/>
      <c r="E427" s="466"/>
      <c r="F427" s="466"/>
      <c r="G427" s="466"/>
      <c r="H427" s="466"/>
      <c r="I427" s="466"/>
      <c r="J427" s="467"/>
    </row>
    <row r="428" spans="1:10" x14ac:dyDescent="0.2">
      <c r="A428" s="465"/>
      <c r="B428" s="466"/>
      <c r="C428" s="466"/>
      <c r="D428" s="466"/>
      <c r="E428" s="466"/>
      <c r="F428" s="466"/>
      <c r="G428" s="466"/>
      <c r="H428" s="466"/>
      <c r="I428" s="466"/>
      <c r="J428" s="467"/>
    </row>
    <row r="429" spans="1:10" x14ac:dyDescent="0.2">
      <c r="A429" s="465"/>
      <c r="B429" s="466"/>
      <c r="C429" s="466"/>
      <c r="D429" s="466"/>
      <c r="E429" s="466"/>
      <c r="F429" s="466"/>
      <c r="G429" s="466"/>
      <c r="H429" s="466"/>
      <c r="I429" s="466"/>
      <c r="J429" s="467"/>
    </row>
    <row r="430" spans="1:10" x14ac:dyDescent="0.2">
      <c r="A430" s="465"/>
      <c r="B430" s="466"/>
      <c r="C430" s="466"/>
      <c r="D430" s="466"/>
      <c r="E430" s="466"/>
      <c r="F430" s="466"/>
      <c r="G430" s="466"/>
      <c r="H430" s="466"/>
      <c r="I430" s="466"/>
      <c r="J430" s="467"/>
    </row>
    <row r="431" spans="1:10" x14ac:dyDescent="0.2">
      <c r="A431" s="465"/>
      <c r="B431" s="466"/>
      <c r="C431" s="466"/>
      <c r="D431" s="466"/>
      <c r="E431" s="466"/>
      <c r="F431" s="466"/>
      <c r="G431" s="466"/>
      <c r="H431" s="466"/>
      <c r="I431" s="466"/>
      <c r="J431" s="467"/>
    </row>
    <row r="432" spans="1:10" x14ac:dyDescent="0.2">
      <c r="A432" s="465"/>
      <c r="B432" s="466"/>
      <c r="C432" s="466"/>
      <c r="D432" s="466"/>
      <c r="E432" s="466"/>
      <c r="F432" s="466"/>
      <c r="G432" s="466"/>
      <c r="H432" s="466"/>
      <c r="I432" s="466"/>
      <c r="J432" s="467"/>
    </row>
    <row r="433" spans="1:10" x14ac:dyDescent="0.2">
      <c r="A433" s="465"/>
      <c r="B433" s="466"/>
      <c r="C433" s="466"/>
      <c r="D433" s="466"/>
      <c r="E433" s="466"/>
      <c r="F433" s="466"/>
      <c r="G433" s="466"/>
      <c r="H433" s="466"/>
      <c r="I433" s="466"/>
      <c r="J433" s="467"/>
    </row>
    <row r="434" spans="1:10" x14ac:dyDescent="0.2">
      <c r="A434" s="465"/>
      <c r="B434" s="466"/>
      <c r="C434" s="466"/>
      <c r="D434" s="466"/>
      <c r="E434" s="466"/>
      <c r="F434" s="466"/>
      <c r="G434" s="466"/>
      <c r="H434" s="466"/>
      <c r="I434" s="466"/>
      <c r="J434" s="467"/>
    </row>
    <row r="435" spans="1:10" x14ac:dyDescent="0.2">
      <c r="A435" s="465"/>
      <c r="B435" s="466"/>
      <c r="C435" s="466"/>
      <c r="D435" s="466"/>
      <c r="E435" s="466"/>
      <c r="F435" s="466"/>
      <c r="G435" s="466"/>
      <c r="H435" s="466"/>
      <c r="I435" s="466"/>
      <c r="J435" s="467"/>
    </row>
    <row r="436" spans="1:10" x14ac:dyDescent="0.2">
      <c r="A436" s="465"/>
      <c r="B436" s="466"/>
      <c r="C436" s="466"/>
      <c r="D436" s="466"/>
      <c r="E436" s="466"/>
      <c r="F436" s="466"/>
      <c r="G436" s="466"/>
      <c r="H436" s="466"/>
      <c r="I436" s="466"/>
      <c r="J436" s="467"/>
    </row>
    <row r="437" spans="1:10" x14ac:dyDescent="0.2">
      <c r="A437" s="465"/>
      <c r="B437" s="466"/>
      <c r="C437" s="466"/>
      <c r="D437" s="466"/>
      <c r="E437" s="466"/>
      <c r="F437" s="466"/>
      <c r="G437" s="466"/>
      <c r="H437" s="466"/>
      <c r="I437" s="466"/>
      <c r="J437" s="467"/>
    </row>
    <row r="438" spans="1:10" x14ac:dyDescent="0.2">
      <c r="A438" s="465"/>
      <c r="B438" s="466"/>
      <c r="C438" s="466"/>
      <c r="D438" s="466"/>
      <c r="E438" s="466"/>
      <c r="F438" s="466"/>
      <c r="G438" s="466"/>
      <c r="H438" s="466"/>
      <c r="I438" s="466"/>
      <c r="J438" s="467"/>
    </row>
    <row r="439" spans="1:10" x14ac:dyDescent="0.2">
      <c r="A439" s="465"/>
      <c r="B439" s="466"/>
      <c r="C439" s="466"/>
      <c r="D439" s="466"/>
      <c r="E439" s="466"/>
      <c r="F439" s="466"/>
      <c r="G439" s="466"/>
      <c r="H439" s="466"/>
      <c r="I439" s="466"/>
      <c r="J439" s="467"/>
    </row>
    <row r="440" spans="1:10" x14ac:dyDescent="0.2">
      <c r="A440" s="465"/>
      <c r="B440" s="466"/>
      <c r="C440" s="466"/>
      <c r="D440" s="466"/>
      <c r="E440" s="466"/>
      <c r="F440" s="466"/>
      <c r="G440" s="466"/>
      <c r="H440" s="466"/>
      <c r="I440" s="466"/>
      <c r="J440" s="467"/>
    </row>
    <row r="441" spans="1:10" x14ac:dyDescent="0.2">
      <c r="A441" s="465"/>
      <c r="B441" s="466"/>
      <c r="C441" s="466"/>
      <c r="D441" s="466"/>
      <c r="E441" s="466"/>
      <c r="F441" s="466"/>
      <c r="G441" s="466"/>
      <c r="H441" s="466"/>
      <c r="I441" s="466"/>
      <c r="J441" s="467"/>
    </row>
    <row r="442" spans="1:10" x14ac:dyDescent="0.2">
      <c r="A442" s="465"/>
      <c r="B442" s="466"/>
      <c r="C442" s="466"/>
      <c r="D442" s="466"/>
      <c r="E442" s="466"/>
      <c r="F442" s="466"/>
      <c r="G442" s="466"/>
      <c r="H442" s="466"/>
      <c r="I442" s="466"/>
      <c r="J442" s="467"/>
    </row>
    <row r="443" spans="1:10" x14ac:dyDescent="0.2">
      <c r="A443" s="465"/>
      <c r="B443" s="466"/>
      <c r="C443" s="466"/>
      <c r="D443" s="466"/>
      <c r="E443" s="466"/>
      <c r="F443" s="466"/>
      <c r="G443" s="466"/>
      <c r="H443" s="466"/>
      <c r="I443" s="466"/>
      <c r="J443" s="467"/>
    </row>
    <row r="444" spans="1:10" x14ac:dyDescent="0.2">
      <c r="A444" s="465"/>
      <c r="B444" s="466"/>
      <c r="C444" s="466"/>
      <c r="D444" s="466"/>
      <c r="E444" s="466"/>
      <c r="F444" s="466"/>
      <c r="G444" s="466"/>
      <c r="H444" s="466"/>
      <c r="I444" s="466"/>
      <c r="J444" s="467"/>
    </row>
    <row r="445" spans="1:10" x14ac:dyDescent="0.2">
      <c r="A445" s="465"/>
      <c r="B445" s="466"/>
      <c r="C445" s="466"/>
      <c r="D445" s="466"/>
      <c r="E445" s="466"/>
      <c r="F445" s="466"/>
      <c r="G445" s="466"/>
      <c r="H445" s="466"/>
      <c r="I445" s="466"/>
      <c r="J445" s="467"/>
    </row>
    <row r="446" spans="1:10" x14ac:dyDescent="0.2">
      <c r="A446" s="465"/>
      <c r="B446" s="466"/>
      <c r="C446" s="466"/>
      <c r="D446" s="466"/>
      <c r="E446" s="466"/>
      <c r="F446" s="466"/>
      <c r="G446" s="466"/>
      <c r="H446" s="466"/>
      <c r="I446" s="466"/>
      <c r="J446" s="467"/>
    </row>
    <row r="447" spans="1:10" x14ac:dyDescent="0.2">
      <c r="A447" s="465"/>
      <c r="B447" s="466"/>
      <c r="C447" s="466"/>
      <c r="D447" s="466"/>
      <c r="E447" s="466"/>
      <c r="F447" s="466"/>
      <c r="G447" s="466"/>
      <c r="H447" s="466"/>
      <c r="I447" s="466"/>
      <c r="J447" s="467"/>
    </row>
    <row r="448" spans="1:10" x14ac:dyDescent="0.2">
      <c r="A448" s="465"/>
      <c r="B448" s="466"/>
      <c r="C448" s="466"/>
      <c r="D448" s="466"/>
      <c r="E448" s="466"/>
      <c r="F448" s="466"/>
      <c r="G448" s="466"/>
      <c r="H448" s="466"/>
      <c r="I448" s="466"/>
      <c r="J448" s="467"/>
    </row>
    <row r="449" spans="1:10" x14ac:dyDescent="0.2">
      <c r="A449" s="465"/>
      <c r="B449" s="466"/>
      <c r="C449" s="466"/>
      <c r="D449" s="466"/>
      <c r="E449" s="466"/>
      <c r="F449" s="466"/>
      <c r="G449" s="466"/>
      <c r="H449" s="466"/>
      <c r="I449" s="466"/>
      <c r="J449" s="467"/>
    </row>
    <row r="450" spans="1:10" x14ac:dyDescent="0.2">
      <c r="A450" s="465"/>
      <c r="B450" s="466"/>
      <c r="C450" s="466"/>
      <c r="D450" s="466"/>
      <c r="E450" s="466"/>
      <c r="F450" s="466"/>
      <c r="G450" s="466"/>
      <c r="H450" s="466"/>
      <c r="I450" s="466"/>
      <c r="J450" s="467"/>
    </row>
    <row r="451" spans="1:10" x14ac:dyDescent="0.2">
      <c r="A451" s="465"/>
      <c r="B451" s="466"/>
      <c r="C451" s="466"/>
      <c r="D451" s="466"/>
      <c r="E451" s="466"/>
      <c r="F451" s="466"/>
      <c r="G451" s="466"/>
      <c r="H451" s="466"/>
      <c r="I451" s="466"/>
      <c r="J451" s="467"/>
    </row>
    <row r="452" spans="1:10" x14ac:dyDescent="0.2">
      <c r="A452" s="465"/>
      <c r="B452" s="466"/>
      <c r="C452" s="466"/>
      <c r="D452" s="466"/>
      <c r="E452" s="466"/>
      <c r="F452" s="466"/>
      <c r="G452" s="466"/>
      <c r="H452" s="466"/>
      <c r="I452" s="466"/>
      <c r="J452" s="467"/>
    </row>
    <row r="453" spans="1:10" x14ac:dyDescent="0.2">
      <c r="A453" s="465"/>
      <c r="B453" s="466"/>
      <c r="C453" s="466"/>
      <c r="D453" s="466"/>
      <c r="E453" s="466"/>
      <c r="F453" s="466"/>
      <c r="G453" s="466"/>
      <c r="H453" s="466"/>
      <c r="I453" s="466"/>
      <c r="J453" s="467"/>
    </row>
    <row r="454" spans="1:10" x14ac:dyDescent="0.2">
      <c r="A454" s="465"/>
      <c r="B454" s="466"/>
      <c r="C454" s="466"/>
      <c r="D454" s="466"/>
      <c r="E454" s="466"/>
      <c r="F454" s="466"/>
      <c r="G454" s="466"/>
      <c r="H454" s="466"/>
      <c r="I454" s="466"/>
      <c r="J454" s="467"/>
    </row>
    <row r="455" spans="1:10" x14ac:dyDescent="0.2">
      <c r="A455" s="465"/>
      <c r="B455" s="466"/>
      <c r="C455" s="466"/>
      <c r="D455" s="466"/>
      <c r="E455" s="466"/>
      <c r="F455" s="466"/>
      <c r="G455" s="466"/>
      <c r="H455" s="466"/>
      <c r="I455" s="466"/>
      <c r="J455" s="467"/>
    </row>
    <row r="456" spans="1:10" x14ac:dyDescent="0.2">
      <c r="A456" s="465"/>
      <c r="B456" s="466"/>
      <c r="C456" s="466"/>
      <c r="D456" s="466"/>
      <c r="E456" s="466"/>
      <c r="F456" s="466"/>
      <c r="G456" s="466"/>
      <c r="H456" s="466"/>
      <c r="I456" s="466"/>
      <c r="J456" s="467"/>
    </row>
    <row r="457" spans="1:10" x14ac:dyDescent="0.2">
      <c r="A457" s="465"/>
      <c r="B457" s="466"/>
      <c r="C457" s="466"/>
      <c r="D457" s="466"/>
      <c r="E457" s="466"/>
      <c r="F457" s="466"/>
      <c r="G457" s="466"/>
      <c r="H457" s="466"/>
      <c r="I457" s="466"/>
      <c r="J457" s="467"/>
    </row>
    <row r="458" spans="1:10" x14ac:dyDescent="0.2">
      <c r="A458" s="465"/>
      <c r="B458" s="466"/>
      <c r="C458" s="466"/>
      <c r="D458" s="466"/>
      <c r="E458" s="466"/>
      <c r="F458" s="466"/>
      <c r="G458" s="466"/>
      <c r="H458" s="466"/>
      <c r="I458" s="466"/>
      <c r="J458" s="467"/>
    </row>
    <row r="459" spans="1:10" x14ac:dyDescent="0.2">
      <c r="A459" s="465"/>
      <c r="B459" s="466"/>
      <c r="C459" s="466"/>
      <c r="D459" s="466"/>
      <c r="E459" s="466"/>
      <c r="F459" s="466"/>
      <c r="G459" s="466"/>
      <c r="H459" s="466"/>
      <c r="I459" s="466"/>
      <c r="J459" s="467"/>
    </row>
    <row r="460" spans="1:10" x14ac:dyDescent="0.2">
      <c r="A460" s="468"/>
      <c r="B460" s="469"/>
      <c r="C460" s="469"/>
      <c r="D460" s="469"/>
      <c r="E460" s="469"/>
      <c r="F460" s="469"/>
      <c r="G460" s="469"/>
      <c r="H460" s="469"/>
      <c r="I460" s="469"/>
      <c r="J460" s="470"/>
    </row>
    <row r="462" spans="1:10" ht="15.75" x14ac:dyDescent="0.25">
      <c r="A462" s="280" t="s">
        <v>847</v>
      </c>
      <c r="B462" s="281"/>
      <c r="C462" s="281"/>
      <c r="D462" s="281"/>
      <c r="E462" s="281"/>
      <c r="F462" s="281"/>
      <c r="G462" s="281"/>
      <c r="H462" s="278" t="str">
        <f>'CONTACT INFORMATION'!$A$24</f>
        <v>Los Angeles</v>
      </c>
      <c r="I462" s="278"/>
      <c r="J462" s="279"/>
    </row>
    <row r="463" spans="1:10" ht="8.1" customHeight="1" x14ac:dyDescent="0.2">
      <c r="A463" s="124"/>
      <c r="B463" s="124"/>
      <c r="C463" s="124"/>
      <c r="D463" s="124"/>
      <c r="E463" s="124"/>
      <c r="F463" s="124"/>
      <c r="G463" s="124"/>
      <c r="H463" s="124"/>
      <c r="I463" s="124"/>
      <c r="J463" s="124"/>
    </row>
    <row r="464" spans="1:10" ht="15" x14ac:dyDescent="0.25">
      <c r="A464" s="387" t="s">
        <v>856</v>
      </c>
      <c r="B464" s="388"/>
      <c r="C464" s="388"/>
      <c r="D464" s="388"/>
      <c r="E464" s="388"/>
      <c r="F464" s="388"/>
      <c r="G464" s="388"/>
      <c r="H464" s="388"/>
      <c r="I464" s="388"/>
      <c r="J464" s="389"/>
    </row>
    <row r="465" spans="1:10" x14ac:dyDescent="0.2">
      <c r="A465" s="390" t="s">
        <v>853</v>
      </c>
      <c r="B465" s="391"/>
      <c r="C465" s="391"/>
      <c r="D465" s="392"/>
      <c r="E465" s="393" t="s">
        <v>940</v>
      </c>
      <c r="F465" s="394"/>
      <c r="G465" s="394"/>
      <c r="H465" s="394"/>
      <c r="I465" s="394"/>
      <c r="J465" s="395"/>
    </row>
    <row r="466" spans="1:10" x14ac:dyDescent="0.2">
      <c r="A466" s="399" t="s">
        <v>852</v>
      </c>
      <c r="B466" s="400"/>
      <c r="C466" s="400"/>
      <c r="D466" s="401"/>
      <c r="E466" s="396"/>
      <c r="F466" s="397"/>
      <c r="G466" s="397"/>
      <c r="H466" s="397"/>
      <c r="I466" s="397"/>
      <c r="J466" s="398"/>
    </row>
    <row r="467" spans="1:10" x14ac:dyDescent="0.2">
      <c r="A467" s="402" t="s">
        <v>808</v>
      </c>
      <c r="B467" s="403"/>
      <c r="C467" s="403"/>
      <c r="D467" s="404"/>
      <c r="E467" s="405"/>
      <c r="F467" s="406"/>
      <c r="G467" s="406"/>
      <c r="H467" s="406"/>
      <c r="I467" s="406"/>
      <c r="J467" s="407"/>
    </row>
    <row r="468" spans="1:10" ht="27" customHeight="1" x14ac:dyDescent="0.2">
      <c r="A468" s="118"/>
      <c r="B468" s="158"/>
      <c r="C468" s="158"/>
      <c r="D468" s="158"/>
      <c r="E468" s="378" t="s">
        <v>535</v>
      </c>
      <c r="F468" s="379"/>
      <c r="G468" s="378" t="s">
        <v>533</v>
      </c>
      <c r="H468" s="379"/>
      <c r="I468" s="380" t="s">
        <v>848</v>
      </c>
      <c r="J468" s="381"/>
    </row>
    <row r="469" spans="1:10" x14ac:dyDescent="0.2">
      <c r="A469" s="382" t="s">
        <v>527</v>
      </c>
      <c r="B469" s="383"/>
      <c r="C469" s="383"/>
      <c r="D469" s="384"/>
      <c r="E469" s="385"/>
      <c r="F469" s="385"/>
      <c r="G469" s="385"/>
      <c r="H469" s="385"/>
      <c r="I469" s="386"/>
      <c r="J469" s="386"/>
    </row>
    <row r="470" spans="1:10" x14ac:dyDescent="0.2">
      <c r="A470" s="372" t="s">
        <v>528</v>
      </c>
      <c r="B470" s="373"/>
      <c r="C470" s="373"/>
      <c r="D470" s="374"/>
      <c r="E470" s="375">
        <v>1001928</v>
      </c>
      <c r="F470" s="375"/>
      <c r="G470" s="376"/>
      <c r="H470" s="376"/>
      <c r="I470" s="377"/>
      <c r="J470" s="377"/>
    </row>
    <row r="471" spans="1:10" x14ac:dyDescent="0.2">
      <c r="A471" s="382" t="s">
        <v>529</v>
      </c>
      <c r="B471" s="383"/>
      <c r="C471" s="383"/>
      <c r="D471" s="384"/>
      <c r="E471" s="385">
        <v>30150</v>
      </c>
      <c r="F471" s="385"/>
      <c r="G471" s="385"/>
      <c r="H471" s="385"/>
      <c r="I471" s="386"/>
      <c r="J471" s="386"/>
    </row>
    <row r="472" spans="1:10" x14ac:dyDescent="0.2">
      <c r="A472" s="372" t="s">
        <v>530</v>
      </c>
      <c r="B472" s="373"/>
      <c r="C472" s="373"/>
      <c r="D472" s="374"/>
      <c r="E472" s="375">
        <v>854383</v>
      </c>
      <c r="F472" s="375"/>
      <c r="G472" s="376"/>
      <c r="H472" s="376"/>
      <c r="I472" s="377"/>
      <c r="J472" s="377"/>
    </row>
    <row r="473" spans="1:10" x14ac:dyDescent="0.2">
      <c r="A473" s="382" t="s">
        <v>531</v>
      </c>
      <c r="B473" s="383"/>
      <c r="C473" s="383"/>
      <c r="D473" s="384"/>
      <c r="E473" s="385"/>
      <c r="F473" s="385"/>
      <c r="G473" s="385"/>
      <c r="H473" s="385"/>
      <c r="I473" s="386"/>
      <c r="J473" s="386"/>
    </row>
    <row r="474" spans="1:10" x14ac:dyDescent="0.2">
      <c r="A474" s="372" t="s">
        <v>532</v>
      </c>
      <c r="B474" s="373"/>
      <c r="C474" s="373"/>
      <c r="D474" s="374"/>
      <c r="E474" s="375">
        <v>8643</v>
      </c>
      <c r="F474" s="375"/>
      <c r="G474" s="376"/>
      <c r="H474" s="376"/>
      <c r="I474" s="377"/>
      <c r="J474" s="377"/>
    </row>
    <row r="475" spans="1:10" x14ac:dyDescent="0.2">
      <c r="A475" s="382" t="s">
        <v>537</v>
      </c>
      <c r="B475" s="383"/>
      <c r="C475" s="383"/>
      <c r="D475" s="384"/>
      <c r="E475" s="418"/>
      <c r="F475" s="418"/>
      <c r="G475" s="418"/>
      <c r="H475" s="418"/>
      <c r="I475" s="419"/>
      <c r="J475" s="419"/>
    </row>
    <row r="476" spans="1:10" x14ac:dyDescent="0.2">
      <c r="A476" s="408" t="s">
        <v>963</v>
      </c>
      <c r="B476" s="409"/>
      <c r="C476" s="409"/>
      <c r="D476" s="410"/>
      <c r="E476" s="375">
        <v>22284</v>
      </c>
      <c r="F476" s="375"/>
      <c r="G476" s="376"/>
      <c r="H476" s="376"/>
      <c r="I476" s="376"/>
      <c r="J476" s="376"/>
    </row>
    <row r="477" spans="1:10" x14ac:dyDescent="0.2">
      <c r="A477" s="408" t="s">
        <v>964</v>
      </c>
      <c r="B477" s="409"/>
      <c r="C477" s="409"/>
      <c r="D477" s="410"/>
      <c r="E477" s="375">
        <v>14364</v>
      </c>
      <c r="F477" s="375"/>
      <c r="G477" s="376"/>
      <c r="H477" s="376"/>
      <c r="I477" s="376"/>
      <c r="J477" s="376"/>
    </row>
    <row r="478" spans="1:10" x14ac:dyDescent="0.2">
      <c r="A478" s="408"/>
      <c r="B478" s="409"/>
      <c r="C478" s="409"/>
      <c r="D478" s="410"/>
      <c r="E478" s="375"/>
      <c r="F478" s="375"/>
      <c r="G478" s="376"/>
      <c r="H478" s="376"/>
      <c r="I478" s="376"/>
      <c r="J478" s="376"/>
    </row>
    <row r="479" spans="1:10" x14ac:dyDescent="0.2">
      <c r="A479" s="411" t="s">
        <v>534</v>
      </c>
      <c r="B479" s="412"/>
      <c r="C479" s="412"/>
      <c r="D479" s="413"/>
      <c r="E479" s="414">
        <f>SUM(E469:E478)</f>
        <v>1931752</v>
      </c>
      <c r="F479" s="414"/>
      <c r="G479" s="414">
        <f>SUM(G469:G478)</f>
        <v>0</v>
      </c>
      <c r="H479" s="414"/>
      <c r="I479" s="414">
        <f>SUM(I469:I478)</f>
        <v>0</v>
      </c>
      <c r="J479" s="414"/>
    </row>
    <row r="480" spans="1:10" x14ac:dyDescent="0.2">
      <c r="A480" s="415" t="s">
        <v>860</v>
      </c>
      <c r="B480" s="416"/>
      <c r="C480" s="416"/>
      <c r="D480" s="416"/>
      <c r="E480" s="416"/>
      <c r="F480" s="416"/>
      <c r="G480" s="416"/>
      <c r="H480" s="416"/>
      <c r="I480" s="416"/>
      <c r="J480" s="417"/>
    </row>
    <row r="481" spans="1:10" x14ac:dyDescent="0.2">
      <c r="A481" s="358" t="s">
        <v>861</v>
      </c>
      <c r="B481" s="359"/>
      <c r="C481" s="359"/>
      <c r="D481" s="359"/>
      <c r="E481" s="359"/>
      <c r="F481" s="359"/>
      <c r="G481" s="359"/>
      <c r="H481" s="359"/>
      <c r="I481" s="359"/>
      <c r="J481" s="360"/>
    </row>
    <row r="482" spans="1:10" x14ac:dyDescent="0.2">
      <c r="A482" s="358" t="s">
        <v>862</v>
      </c>
      <c r="B482" s="359"/>
      <c r="C482" s="359"/>
      <c r="D482" s="359"/>
      <c r="E482" s="359"/>
      <c r="F482" s="359"/>
      <c r="G482" s="359"/>
      <c r="H482" s="359"/>
      <c r="I482" s="359"/>
      <c r="J482" s="360"/>
    </row>
    <row r="483" spans="1:10" x14ac:dyDescent="0.2">
      <c r="A483" s="361" t="s">
        <v>863</v>
      </c>
      <c r="B483" s="362"/>
      <c r="C483" s="362"/>
      <c r="D483" s="362"/>
      <c r="E483" s="362"/>
      <c r="F483" s="362"/>
      <c r="G483" s="362"/>
      <c r="H483" s="362"/>
      <c r="I483" s="362"/>
      <c r="J483" s="363"/>
    </row>
    <row r="484" spans="1:10" ht="12.75" customHeight="1" x14ac:dyDescent="0.2">
      <c r="A484" s="337" t="s">
        <v>996</v>
      </c>
      <c r="B484" s="463"/>
      <c r="C484" s="463"/>
      <c r="D484" s="463"/>
      <c r="E484" s="463"/>
      <c r="F484" s="463"/>
      <c r="G484" s="463"/>
      <c r="H484" s="463"/>
      <c r="I484" s="463"/>
      <c r="J484" s="464"/>
    </row>
    <row r="485" spans="1:10" x14ac:dyDescent="0.2">
      <c r="A485" s="465"/>
      <c r="B485" s="466"/>
      <c r="C485" s="466"/>
      <c r="D485" s="466"/>
      <c r="E485" s="466"/>
      <c r="F485" s="466"/>
      <c r="G485" s="466"/>
      <c r="H485" s="466"/>
      <c r="I485" s="466"/>
      <c r="J485" s="467"/>
    </row>
    <row r="486" spans="1:10" x14ac:dyDescent="0.2">
      <c r="A486" s="465"/>
      <c r="B486" s="466"/>
      <c r="C486" s="466"/>
      <c r="D486" s="466"/>
      <c r="E486" s="466"/>
      <c r="F486" s="466"/>
      <c r="G486" s="466"/>
      <c r="H486" s="466"/>
      <c r="I486" s="466"/>
      <c r="J486" s="467"/>
    </row>
    <row r="487" spans="1:10" x14ac:dyDescent="0.2">
      <c r="A487" s="465"/>
      <c r="B487" s="466"/>
      <c r="C487" s="466"/>
      <c r="D487" s="466"/>
      <c r="E487" s="466"/>
      <c r="F487" s="466"/>
      <c r="G487" s="466"/>
      <c r="H487" s="466"/>
      <c r="I487" s="466"/>
      <c r="J487" s="467"/>
    </row>
    <row r="488" spans="1:10" x14ac:dyDescent="0.2">
      <c r="A488" s="465"/>
      <c r="B488" s="466"/>
      <c r="C488" s="466"/>
      <c r="D488" s="466"/>
      <c r="E488" s="466"/>
      <c r="F488" s="466"/>
      <c r="G488" s="466"/>
      <c r="H488" s="466"/>
      <c r="I488" s="466"/>
      <c r="J488" s="467"/>
    </row>
    <row r="489" spans="1:10" x14ac:dyDescent="0.2">
      <c r="A489" s="465"/>
      <c r="B489" s="466"/>
      <c r="C489" s="466"/>
      <c r="D489" s="466"/>
      <c r="E489" s="466"/>
      <c r="F489" s="466"/>
      <c r="G489" s="466"/>
      <c r="H489" s="466"/>
      <c r="I489" s="466"/>
      <c r="J489" s="467"/>
    </row>
    <row r="490" spans="1:10" x14ac:dyDescent="0.2">
      <c r="A490" s="465"/>
      <c r="B490" s="466"/>
      <c r="C490" s="466"/>
      <c r="D490" s="466"/>
      <c r="E490" s="466"/>
      <c r="F490" s="466"/>
      <c r="G490" s="466"/>
      <c r="H490" s="466"/>
      <c r="I490" s="466"/>
      <c r="J490" s="467"/>
    </row>
    <row r="491" spans="1:10" x14ac:dyDescent="0.2">
      <c r="A491" s="465"/>
      <c r="B491" s="466"/>
      <c r="C491" s="466"/>
      <c r="D491" s="466"/>
      <c r="E491" s="466"/>
      <c r="F491" s="466"/>
      <c r="G491" s="466"/>
      <c r="H491" s="466"/>
      <c r="I491" s="466"/>
      <c r="J491" s="467"/>
    </row>
    <row r="492" spans="1:10" x14ac:dyDescent="0.2">
      <c r="A492" s="465"/>
      <c r="B492" s="466"/>
      <c r="C492" s="466"/>
      <c r="D492" s="466"/>
      <c r="E492" s="466"/>
      <c r="F492" s="466"/>
      <c r="G492" s="466"/>
      <c r="H492" s="466"/>
      <c r="I492" s="466"/>
      <c r="J492" s="467"/>
    </row>
    <row r="493" spans="1:10" x14ac:dyDescent="0.2">
      <c r="A493" s="465"/>
      <c r="B493" s="466"/>
      <c r="C493" s="466"/>
      <c r="D493" s="466"/>
      <c r="E493" s="466"/>
      <c r="F493" s="466"/>
      <c r="G493" s="466"/>
      <c r="H493" s="466"/>
      <c r="I493" s="466"/>
      <c r="J493" s="467"/>
    </row>
    <row r="494" spans="1:10" x14ac:dyDescent="0.2">
      <c r="A494" s="465"/>
      <c r="B494" s="466"/>
      <c r="C494" s="466"/>
      <c r="D494" s="466"/>
      <c r="E494" s="466"/>
      <c r="F494" s="466"/>
      <c r="G494" s="466"/>
      <c r="H494" s="466"/>
      <c r="I494" s="466"/>
      <c r="J494" s="467"/>
    </row>
    <row r="495" spans="1:10" x14ac:dyDescent="0.2">
      <c r="A495" s="465"/>
      <c r="B495" s="466"/>
      <c r="C495" s="466"/>
      <c r="D495" s="466"/>
      <c r="E495" s="466"/>
      <c r="F495" s="466"/>
      <c r="G495" s="466"/>
      <c r="H495" s="466"/>
      <c r="I495" s="466"/>
      <c r="J495" s="467"/>
    </row>
    <row r="496" spans="1:10" x14ac:dyDescent="0.2">
      <c r="A496" s="465"/>
      <c r="B496" s="466"/>
      <c r="C496" s="466"/>
      <c r="D496" s="466"/>
      <c r="E496" s="466"/>
      <c r="F496" s="466"/>
      <c r="G496" s="466"/>
      <c r="H496" s="466"/>
      <c r="I496" s="466"/>
      <c r="J496" s="467"/>
    </row>
    <row r="497" spans="1:10" x14ac:dyDescent="0.2">
      <c r="A497" s="465"/>
      <c r="B497" s="466"/>
      <c r="C497" s="466"/>
      <c r="D497" s="466"/>
      <c r="E497" s="466"/>
      <c r="F497" s="466"/>
      <c r="G497" s="466"/>
      <c r="H497" s="466"/>
      <c r="I497" s="466"/>
      <c r="J497" s="467"/>
    </row>
    <row r="498" spans="1:10" x14ac:dyDescent="0.2">
      <c r="A498" s="465"/>
      <c r="B498" s="466"/>
      <c r="C498" s="466"/>
      <c r="D498" s="466"/>
      <c r="E498" s="466"/>
      <c r="F498" s="466"/>
      <c r="G498" s="466"/>
      <c r="H498" s="466"/>
      <c r="I498" s="466"/>
      <c r="J498" s="467"/>
    </row>
    <row r="499" spans="1:10" x14ac:dyDescent="0.2">
      <c r="A499" s="465"/>
      <c r="B499" s="466"/>
      <c r="C499" s="466"/>
      <c r="D499" s="466"/>
      <c r="E499" s="466"/>
      <c r="F499" s="466"/>
      <c r="G499" s="466"/>
      <c r="H499" s="466"/>
      <c r="I499" s="466"/>
      <c r="J499" s="467"/>
    </row>
    <row r="500" spans="1:10" x14ac:dyDescent="0.2">
      <c r="A500" s="465"/>
      <c r="B500" s="466"/>
      <c r="C500" s="466"/>
      <c r="D500" s="466"/>
      <c r="E500" s="466"/>
      <c r="F500" s="466"/>
      <c r="G500" s="466"/>
      <c r="H500" s="466"/>
      <c r="I500" s="466"/>
      <c r="J500" s="467"/>
    </row>
    <row r="501" spans="1:10" x14ac:dyDescent="0.2">
      <c r="A501" s="465"/>
      <c r="B501" s="466"/>
      <c r="C501" s="466"/>
      <c r="D501" s="466"/>
      <c r="E501" s="466"/>
      <c r="F501" s="466"/>
      <c r="G501" s="466"/>
      <c r="H501" s="466"/>
      <c r="I501" s="466"/>
      <c r="J501" s="467"/>
    </row>
    <row r="502" spans="1:10" x14ac:dyDescent="0.2">
      <c r="A502" s="465"/>
      <c r="B502" s="466"/>
      <c r="C502" s="466"/>
      <c r="D502" s="466"/>
      <c r="E502" s="466"/>
      <c r="F502" s="466"/>
      <c r="G502" s="466"/>
      <c r="H502" s="466"/>
      <c r="I502" s="466"/>
      <c r="J502" s="467"/>
    </row>
    <row r="503" spans="1:10" x14ac:dyDescent="0.2">
      <c r="A503" s="465"/>
      <c r="B503" s="466"/>
      <c r="C503" s="466"/>
      <c r="D503" s="466"/>
      <c r="E503" s="466"/>
      <c r="F503" s="466"/>
      <c r="G503" s="466"/>
      <c r="H503" s="466"/>
      <c r="I503" s="466"/>
      <c r="J503" s="467"/>
    </row>
    <row r="504" spans="1:10" x14ac:dyDescent="0.2">
      <c r="A504" s="465"/>
      <c r="B504" s="466"/>
      <c r="C504" s="466"/>
      <c r="D504" s="466"/>
      <c r="E504" s="466"/>
      <c r="F504" s="466"/>
      <c r="G504" s="466"/>
      <c r="H504" s="466"/>
      <c r="I504" s="466"/>
      <c r="J504" s="467"/>
    </row>
    <row r="505" spans="1:10" x14ac:dyDescent="0.2">
      <c r="A505" s="465"/>
      <c r="B505" s="466"/>
      <c r="C505" s="466"/>
      <c r="D505" s="466"/>
      <c r="E505" s="466"/>
      <c r="F505" s="466"/>
      <c r="G505" s="466"/>
      <c r="H505" s="466"/>
      <c r="I505" s="466"/>
      <c r="J505" s="467"/>
    </row>
    <row r="506" spans="1:10" x14ac:dyDescent="0.2">
      <c r="A506" s="465"/>
      <c r="B506" s="466"/>
      <c r="C506" s="466"/>
      <c r="D506" s="466"/>
      <c r="E506" s="466"/>
      <c r="F506" s="466"/>
      <c r="G506" s="466"/>
      <c r="H506" s="466"/>
      <c r="I506" s="466"/>
      <c r="J506" s="467"/>
    </row>
    <row r="507" spans="1:10" x14ac:dyDescent="0.2">
      <c r="A507" s="465"/>
      <c r="B507" s="466"/>
      <c r="C507" s="466"/>
      <c r="D507" s="466"/>
      <c r="E507" s="466"/>
      <c r="F507" s="466"/>
      <c r="G507" s="466"/>
      <c r="H507" s="466"/>
      <c r="I507" s="466"/>
      <c r="J507" s="467"/>
    </row>
    <row r="508" spans="1:10" x14ac:dyDescent="0.2">
      <c r="A508" s="465"/>
      <c r="B508" s="466"/>
      <c r="C508" s="466"/>
      <c r="D508" s="466"/>
      <c r="E508" s="466"/>
      <c r="F508" s="466"/>
      <c r="G508" s="466"/>
      <c r="H508" s="466"/>
      <c r="I508" s="466"/>
      <c r="J508" s="467"/>
    </row>
    <row r="509" spans="1:10" x14ac:dyDescent="0.2">
      <c r="A509" s="465"/>
      <c r="B509" s="466"/>
      <c r="C509" s="466"/>
      <c r="D509" s="466"/>
      <c r="E509" s="466"/>
      <c r="F509" s="466"/>
      <c r="G509" s="466"/>
      <c r="H509" s="466"/>
      <c r="I509" s="466"/>
      <c r="J509" s="467"/>
    </row>
    <row r="510" spans="1:10" x14ac:dyDescent="0.2">
      <c r="A510" s="465"/>
      <c r="B510" s="466"/>
      <c r="C510" s="466"/>
      <c r="D510" s="466"/>
      <c r="E510" s="466"/>
      <c r="F510" s="466"/>
      <c r="G510" s="466"/>
      <c r="H510" s="466"/>
      <c r="I510" s="466"/>
      <c r="J510" s="467"/>
    </row>
    <row r="511" spans="1:10" x14ac:dyDescent="0.2">
      <c r="A511" s="465"/>
      <c r="B511" s="466"/>
      <c r="C511" s="466"/>
      <c r="D511" s="466"/>
      <c r="E511" s="466"/>
      <c r="F511" s="466"/>
      <c r="G511" s="466"/>
      <c r="H511" s="466"/>
      <c r="I511" s="466"/>
      <c r="J511" s="467"/>
    </row>
    <row r="512" spans="1:10" x14ac:dyDescent="0.2">
      <c r="A512" s="465"/>
      <c r="B512" s="466"/>
      <c r="C512" s="466"/>
      <c r="D512" s="466"/>
      <c r="E512" s="466"/>
      <c r="F512" s="466"/>
      <c r="G512" s="466"/>
      <c r="H512" s="466"/>
      <c r="I512" s="466"/>
      <c r="J512" s="467"/>
    </row>
    <row r="513" spans="1:10" x14ac:dyDescent="0.2">
      <c r="A513" s="465"/>
      <c r="B513" s="466"/>
      <c r="C513" s="466"/>
      <c r="D513" s="466"/>
      <c r="E513" s="466"/>
      <c r="F513" s="466"/>
      <c r="G513" s="466"/>
      <c r="H513" s="466"/>
      <c r="I513" s="466"/>
      <c r="J513" s="467"/>
    </row>
    <row r="514" spans="1:10" x14ac:dyDescent="0.2">
      <c r="A514" s="465"/>
      <c r="B514" s="466"/>
      <c r="C514" s="466"/>
      <c r="D514" s="466"/>
      <c r="E514" s="466"/>
      <c r="F514" s="466"/>
      <c r="G514" s="466"/>
      <c r="H514" s="466"/>
      <c r="I514" s="466"/>
      <c r="J514" s="467"/>
    </row>
    <row r="515" spans="1:10" x14ac:dyDescent="0.2">
      <c r="A515" s="465"/>
      <c r="B515" s="466"/>
      <c r="C515" s="466"/>
      <c r="D515" s="466"/>
      <c r="E515" s="466"/>
      <c r="F515" s="466"/>
      <c r="G515" s="466"/>
      <c r="H515" s="466"/>
      <c r="I515" s="466"/>
      <c r="J515" s="467"/>
    </row>
    <row r="516" spans="1:10" x14ac:dyDescent="0.2">
      <c r="A516" s="465"/>
      <c r="B516" s="466"/>
      <c r="C516" s="466"/>
      <c r="D516" s="466"/>
      <c r="E516" s="466"/>
      <c r="F516" s="466"/>
      <c r="G516" s="466"/>
      <c r="H516" s="466"/>
      <c r="I516" s="466"/>
      <c r="J516" s="467"/>
    </row>
    <row r="517" spans="1:10" x14ac:dyDescent="0.2">
      <c r="A517" s="465"/>
      <c r="B517" s="466"/>
      <c r="C517" s="466"/>
      <c r="D517" s="466"/>
      <c r="E517" s="466"/>
      <c r="F517" s="466"/>
      <c r="G517" s="466"/>
      <c r="H517" s="466"/>
      <c r="I517" s="466"/>
      <c r="J517" s="467"/>
    </row>
    <row r="518" spans="1:10" ht="63.75" customHeight="1" x14ac:dyDescent="0.2">
      <c r="A518" s="468"/>
      <c r="B518" s="469"/>
      <c r="C518" s="469"/>
      <c r="D518" s="469"/>
      <c r="E518" s="469"/>
      <c r="F518" s="469"/>
      <c r="G518" s="469"/>
      <c r="H518" s="469"/>
      <c r="I518" s="469"/>
      <c r="J518" s="470"/>
    </row>
    <row r="520" spans="1:10" ht="15.75" x14ac:dyDescent="0.25">
      <c r="A520" s="280" t="s">
        <v>847</v>
      </c>
      <c r="B520" s="281"/>
      <c r="C520" s="281"/>
      <c r="D520" s="281"/>
      <c r="E520" s="281"/>
      <c r="F520" s="281"/>
      <c r="G520" s="281"/>
      <c r="H520" s="278" t="str">
        <f>'CONTACT INFORMATION'!$A$24</f>
        <v>Los Angeles</v>
      </c>
      <c r="I520" s="278"/>
      <c r="J520" s="279"/>
    </row>
    <row r="521" spans="1:10" ht="8.1" customHeight="1" x14ac:dyDescent="0.2">
      <c r="A521" s="124"/>
      <c r="B521" s="124"/>
      <c r="C521" s="124"/>
      <c r="D521" s="124"/>
      <c r="E521" s="124"/>
      <c r="F521" s="124"/>
      <c r="G521" s="124"/>
      <c r="H521" s="124"/>
      <c r="I521" s="124"/>
      <c r="J521" s="124"/>
    </row>
    <row r="522" spans="1:10" ht="15" x14ac:dyDescent="0.25">
      <c r="A522" s="387" t="s">
        <v>857</v>
      </c>
      <c r="B522" s="388"/>
      <c r="C522" s="388"/>
      <c r="D522" s="388"/>
      <c r="E522" s="388"/>
      <c r="F522" s="388"/>
      <c r="G522" s="388"/>
      <c r="H522" s="388"/>
      <c r="I522" s="388"/>
      <c r="J522" s="389"/>
    </row>
    <row r="523" spans="1:10" ht="12.75" customHeight="1" x14ac:dyDescent="0.2">
      <c r="A523" s="390" t="s">
        <v>853</v>
      </c>
      <c r="B523" s="391"/>
      <c r="C523" s="391"/>
      <c r="D523" s="392"/>
      <c r="E523" s="393" t="s">
        <v>941</v>
      </c>
      <c r="F523" s="394"/>
      <c r="G523" s="394"/>
      <c r="H523" s="394"/>
      <c r="I523" s="394"/>
      <c r="J523" s="395"/>
    </row>
    <row r="524" spans="1:10" ht="12.75" customHeight="1" x14ac:dyDescent="0.2">
      <c r="A524" s="399" t="s">
        <v>852</v>
      </c>
      <c r="B524" s="400"/>
      <c r="C524" s="400"/>
      <c r="D524" s="401"/>
      <c r="E524" s="396"/>
      <c r="F524" s="397"/>
      <c r="G524" s="397"/>
      <c r="H524" s="397"/>
      <c r="I524" s="397"/>
      <c r="J524" s="398"/>
    </row>
    <row r="525" spans="1:10" x14ac:dyDescent="0.2">
      <c r="A525" s="402" t="s">
        <v>808</v>
      </c>
      <c r="B525" s="403"/>
      <c r="C525" s="403"/>
      <c r="D525" s="404"/>
      <c r="E525" s="405"/>
      <c r="F525" s="406"/>
      <c r="G525" s="406"/>
      <c r="H525" s="406"/>
      <c r="I525" s="406"/>
      <c r="J525" s="407"/>
    </row>
    <row r="526" spans="1:10" ht="27" customHeight="1" x14ac:dyDescent="0.2">
      <c r="A526" s="118"/>
      <c r="B526" s="158"/>
      <c r="C526" s="158"/>
      <c r="D526" s="158"/>
      <c r="E526" s="378" t="s">
        <v>535</v>
      </c>
      <c r="F526" s="379"/>
      <c r="G526" s="378" t="s">
        <v>533</v>
      </c>
      <c r="H526" s="379"/>
      <c r="I526" s="380" t="s">
        <v>848</v>
      </c>
      <c r="J526" s="381"/>
    </row>
    <row r="527" spans="1:10" x14ac:dyDescent="0.2">
      <c r="A527" s="382" t="s">
        <v>527</v>
      </c>
      <c r="B527" s="383"/>
      <c r="C527" s="383"/>
      <c r="D527" s="384"/>
      <c r="E527" s="385"/>
      <c r="F527" s="385"/>
      <c r="G527" s="385"/>
      <c r="H527" s="385"/>
      <c r="I527" s="386"/>
      <c r="J527" s="386"/>
    </row>
    <row r="528" spans="1:10" x14ac:dyDescent="0.2">
      <c r="A528" s="372" t="s">
        <v>528</v>
      </c>
      <c r="B528" s="373"/>
      <c r="C528" s="373"/>
      <c r="D528" s="374"/>
      <c r="E528" s="375">
        <v>274126</v>
      </c>
      <c r="F528" s="375"/>
      <c r="G528" s="376"/>
      <c r="H528" s="376"/>
      <c r="I528" s="377"/>
      <c r="J528" s="377"/>
    </row>
    <row r="529" spans="1:10" x14ac:dyDescent="0.2">
      <c r="A529" s="382" t="s">
        <v>529</v>
      </c>
      <c r="B529" s="383"/>
      <c r="C529" s="383"/>
      <c r="D529" s="384"/>
      <c r="E529" s="385">
        <v>4452</v>
      </c>
      <c r="F529" s="385"/>
      <c r="G529" s="385"/>
      <c r="H529" s="385"/>
      <c r="I529" s="386"/>
      <c r="J529" s="386"/>
    </row>
    <row r="530" spans="1:10" x14ac:dyDescent="0.2">
      <c r="A530" s="372" t="s">
        <v>530</v>
      </c>
      <c r="B530" s="373"/>
      <c r="C530" s="373"/>
      <c r="D530" s="374"/>
      <c r="E530" s="375"/>
      <c r="F530" s="375"/>
      <c r="G530" s="376"/>
      <c r="H530" s="376"/>
      <c r="I530" s="377"/>
      <c r="J530" s="377"/>
    </row>
    <row r="531" spans="1:10" x14ac:dyDescent="0.2">
      <c r="A531" s="382" t="s">
        <v>531</v>
      </c>
      <c r="B531" s="383"/>
      <c r="C531" s="383"/>
      <c r="D531" s="384"/>
      <c r="E531" s="385"/>
      <c r="F531" s="385"/>
      <c r="G531" s="385"/>
      <c r="H531" s="385"/>
      <c r="I531" s="386"/>
      <c r="J531" s="386"/>
    </row>
    <row r="532" spans="1:10" x14ac:dyDescent="0.2">
      <c r="A532" s="372" t="s">
        <v>532</v>
      </c>
      <c r="B532" s="373"/>
      <c r="C532" s="373"/>
      <c r="D532" s="374"/>
      <c r="E532" s="375">
        <v>1277</v>
      </c>
      <c r="F532" s="375"/>
      <c r="G532" s="376"/>
      <c r="H532" s="376"/>
      <c r="I532" s="377"/>
      <c r="J532" s="377"/>
    </row>
    <row r="533" spans="1:10" x14ac:dyDescent="0.2">
      <c r="A533" s="382" t="s">
        <v>537</v>
      </c>
      <c r="B533" s="383"/>
      <c r="C533" s="383"/>
      <c r="D533" s="384"/>
      <c r="E533" s="418"/>
      <c r="F533" s="418"/>
      <c r="G533" s="418"/>
      <c r="H533" s="418"/>
      <c r="I533" s="419"/>
      <c r="J533" s="419"/>
    </row>
    <row r="534" spans="1:10" x14ac:dyDescent="0.2">
      <c r="A534" s="408" t="s">
        <v>963</v>
      </c>
      <c r="B534" s="409"/>
      <c r="C534" s="409"/>
      <c r="D534" s="410"/>
      <c r="E534" s="375">
        <v>3291</v>
      </c>
      <c r="F534" s="375"/>
      <c r="G534" s="376"/>
      <c r="H534" s="376"/>
      <c r="I534" s="376"/>
      <c r="J534" s="376"/>
    </row>
    <row r="535" spans="1:10" x14ac:dyDescent="0.2">
      <c r="A535" s="408" t="s">
        <v>964</v>
      </c>
      <c r="B535" s="409"/>
      <c r="C535" s="409"/>
      <c r="D535" s="410"/>
      <c r="E535" s="375">
        <v>2121</v>
      </c>
      <c r="F535" s="375"/>
      <c r="G535" s="376"/>
      <c r="H535" s="376"/>
      <c r="I535" s="376"/>
      <c r="J535" s="376"/>
    </row>
    <row r="536" spans="1:10" x14ac:dyDescent="0.2">
      <c r="A536" s="408"/>
      <c r="B536" s="409"/>
      <c r="C536" s="409"/>
      <c r="D536" s="410"/>
      <c r="E536" s="375"/>
      <c r="F536" s="375"/>
      <c r="G536" s="376"/>
      <c r="H536" s="376"/>
      <c r="I536" s="376"/>
      <c r="J536" s="376"/>
    </row>
    <row r="537" spans="1:10" x14ac:dyDescent="0.2">
      <c r="A537" s="411" t="s">
        <v>534</v>
      </c>
      <c r="B537" s="412"/>
      <c r="C537" s="412"/>
      <c r="D537" s="413"/>
      <c r="E537" s="414">
        <f>SUM(E527:E536)</f>
        <v>285267</v>
      </c>
      <c r="F537" s="414"/>
      <c r="G537" s="414">
        <f>SUM(G527:G536)</f>
        <v>0</v>
      </c>
      <c r="H537" s="414"/>
      <c r="I537" s="414">
        <f>SUM(I527:I536)</f>
        <v>0</v>
      </c>
      <c r="J537" s="414"/>
    </row>
    <row r="538" spans="1:10" ht="12.75" customHeight="1" x14ac:dyDescent="0.2">
      <c r="A538" s="415" t="s">
        <v>860</v>
      </c>
      <c r="B538" s="416"/>
      <c r="C538" s="416"/>
      <c r="D538" s="416"/>
      <c r="E538" s="416"/>
      <c r="F538" s="416"/>
      <c r="G538" s="416"/>
      <c r="H538" s="416"/>
      <c r="I538" s="416"/>
      <c r="J538" s="417"/>
    </row>
    <row r="539" spans="1:10" ht="12.75" customHeight="1" x14ac:dyDescent="0.2">
      <c r="A539" s="358" t="s">
        <v>861</v>
      </c>
      <c r="B539" s="359"/>
      <c r="C539" s="359"/>
      <c r="D539" s="359"/>
      <c r="E539" s="359"/>
      <c r="F539" s="359"/>
      <c r="G539" s="359"/>
      <c r="H539" s="359"/>
      <c r="I539" s="359"/>
      <c r="J539" s="360"/>
    </row>
    <row r="540" spans="1:10" ht="12.75" customHeight="1" x14ac:dyDescent="0.2">
      <c r="A540" s="358" t="s">
        <v>862</v>
      </c>
      <c r="B540" s="359"/>
      <c r="C540" s="359"/>
      <c r="D540" s="359"/>
      <c r="E540" s="359"/>
      <c r="F540" s="359"/>
      <c r="G540" s="359"/>
      <c r="H540" s="359"/>
      <c r="I540" s="359"/>
      <c r="J540" s="360"/>
    </row>
    <row r="541" spans="1:10" ht="12.75" customHeight="1" x14ac:dyDescent="0.2">
      <c r="A541" s="361" t="s">
        <v>863</v>
      </c>
      <c r="B541" s="362"/>
      <c r="C541" s="362"/>
      <c r="D541" s="362"/>
      <c r="E541" s="362"/>
      <c r="F541" s="362"/>
      <c r="G541" s="362"/>
      <c r="H541" s="362"/>
      <c r="I541" s="362"/>
      <c r="J541" s="363"/>
    </row>
    <row r="542" spans="1:10" x14ac:dyDescent="0.2">
      <c r="A542" s="233" t="s">
        <v>994</v>
      </c>
      <c r="B542" s="364"/>
      <c r="C542" s="364"/>
      <c r="D542" s="364"/>
      <c r="E542" s="364"/>
      <c r="F542" s="364"/>
      <c r="G542" s="364"/>
      <c r="H542" s="364"/>
      <c r="I542" s="364"/>
      <c r="J542" s="365"/>
    </row>
    <row r="543" spans="1:10" x14ac:dyDescent="0.2">
      <c r="A543" s="366"/>
      <c r="B543" s="367"/>
      <c r="C543" s="367"/>
      <c r="D543" s="367"/>
      <c r="E543" s="367"/>
      <c r="F543" s="367"/>
      <c r="G543" s="367"/>
      <c r="H543" s="367"/>
      <c r="I543" s="367"/>
      <c r="J543" s="368"/>
    </row>
    <row r="544" spans="1:10" x14ac:dyDescent="0.2">
      <c r="A544" s="366"/>
      <c r="B544" s="367"/>
      <c r="C544" s="367"/>
      <c r="D544" s="367"/>
      <c r="E544" s="367"/>
      <c r="F544" s="367"/>
      <c r="G544" s="367"/>
      <c r="H544" s="367"/>
      <c r="I544" s="367"/>
      <c r="J544" s="368"/>
    </row>
    <row r="545" spans="1:10" x14ac:dyDescent="0.2">
      <c r="A545" s="366"/>
      <c r="B545" s="367"/>
      <c r="C545" s="367"/>
      <c r="D545" s="367"/>
      <c r="E545" s="367"/>
      <c r="F545" s="367"/>
      <c r="G545" s="367"/>
      <c r="H545" s="367"/>
      <c r="I545" s="367"/>
      <c r="J545" s="368"/>
    </row>
    <row r="546" spans="1:10" x14ac:dyDescent="0.2">
      <c r="A546" s="366"/>
      <c r="B546" s="367"/>
      <c r="C546" s="367"/>
      <c r="D546" s="367"/>
      <c r="E546" s="367"/>
      <c r="F546" s="367"/>
      <c r="G546" s="367"/>
      <c r="H546" s="367"/>
      <c r="I546" s="367"/>
      <c r="J546" s="368"/>
    </row>
    <row r="547" spans="1:10" x14ac:dyDescent="0.2">
      <c r="A547" s="366"/>
      <c r="B547" s="367"/>
      <c r="C547" s="367"/>
      <c r="D547" s="367"/>
      <c r="E547" s="367"/>
      <c r="F547" s="367"/>
      <c r="G547" s="367"/>
      <c r="H547" s="367"/>
      <c r="I547" s="367"/>
      <c r="J547" s="368"/>
    </row>
    <row r="548" spans="1:10" x14ac:dyDescent="0.2">
      <c r="A548" s="366"/>
      <c r="B548" s="367"/>
      <c r="C548" s="367"/>
      <c r="D548" s="367"/>
      <c r="E548" s="367"/>
      <c r="F548" s="367"/>
      <c r="G548" s="367"/>
      <c r="H548" s="367"/>
      <c r="I548" s="367"/>
      <c r="J548" s="368"/>
    </row>
    <row r="549" spans="1:10" x14ac:dyDescent="0.2">
      <c r="A549" s="366"/>
      <c r="B549" s="367"/>
      <c r="C549" s="367"/>
      <c r="D549" s="367"/>
      <c r="E549" s="367"/>
      <c r="F549" s="367"/>
      <c r="G549" s="367"/>
      <c r="H549" s="367"/>
      <c r="I549" s="367"/>
      <c r="J549" s="368"/>
    </row>
    <row r="550" spans="1:10" x14ac:dyDescent="0.2">
      <c r="A550" s="366"/>
      <c r="B550" s="367"/>
      <c r="C550" s="367"/>
      <c r="D550" s="367"/>
      <c r="E550" s="367"/>
      <c r="F550" s="367"/>
      <c r="G550" s="367"/>
      <c r="H550" s="367"/>
      <c r="I550" s="367"/>
      <c r="J550" s="368"/>
    </row>
    <row r="551" spans="1:10" x14ac:dyDescent="0.2">
      <c r="A551" s="366"/>
      <c r="B551" s="367"/>
      <c r="C551" s="367"/>
      <c r="D551" s="367"/>
      <c r="E551" s="367"/>
      <c r="F551" s="367"/>
      <c r="G551" s="367"/>
      <c r="H551" s="367"/>
      <c r="I551" s="367"/>
      <c r="J551" s="368"/>
    </row>
    <row r="552" spans="1:10" x14ac:dyDescent="0.2">
      <c r="A552" s="366"/>
      <c r="B552" s="367"/>
      <c r="C552" s="367"/>
      <c r="D552" s="367"/>
      <c r="E552" s="367"/>
      <c r="F552" s="367"/>
      <c r="G552" s="367"/>
      <c r="H552" s="367"/>
      <c r="I552" s="367"/>
      <c r="J552" s="368"/>
    </row>
    <row r="553" spans="1:10" x14ac:dyDescent="0.2">
      <c r="A553" s="366"/>
      <c r="B553" s="367"/>
      <c r="C553" s="367"/>
      <c r="D553" s="367"/>
      <c r="E553" s="367"/>
      <c r="F553" s="367"/>
      <c r="G553" s="367"/>
      <c r="H553" s="367"/>
      <c r="I553" s="367"/>
      <c r="J553" s="368"/>
    </row>
    <row r="554" spans="1:10" x14ac:dyDescent="0.2">
      <c r="A554" s="366"/>
      <c r="B554" s="367"/>
      <c r="C554" s="367"/>
      <c r="D554" s="367"/>
      <c r="E554" s="367"/>
      <c r="F554" s="367"/>
      <c r="G554" s="367"/>
      <c r="H554" s="367"/>
      <c r="I554" s="367"/>
      <c r="J554" s="368"/>
    </row>
    <row r="555" spans="1:10" x14ac:dyDescent="0.2">
      <c r="A555" s="366"/>
      <c r="B555" s="367"/>
      <c r="C555" s="367"/>
      <c r="D555" s="367"/>
      <c r="E555" s="367"/>
      <c r="F555" s="367"/>
      <c r="G555" s="367"/>
      <c r="H555" s="367"/>
      <c r="I555" s="367"/>
      <c r="J555" s="368"/>
    </row>
    <row r="556" spans="1:10" x14ac:dyDescent="0.2">
      <c r="A556" s="366"/>
      <c r="B556" s="367"/>
      <c r="C556" s="367"/>
      <c r="D556" s="367"/>
      <c r="E556" s="367"/>
      <c r="F556" s="367"/>
      <c r="G556" s="367"/>
      <c r="H556" s="367"/>
      <c r="I556" s="367"/>
      <c r="J556" s="368"/>
    </row>
    <row r="557" spans="1:10" x14ac:dyDescent="0.2">
      <c r="A557" s="366"/>
      <c r="B557" s="367"/>
      <c r="C557" s="367"/>
      <c r="D557" s="367"/>
      <c r="E557" s="367"/>
      <c r="F557" s="367"/>
      <c r="G557" s="367"/>
      <c r="H557" s="367"/>
      <c r="I557" s="367"/>
      <c r="J557" s="368"/>
    </row>
    <row r="558" spans="1:10" x14ac:dyDescent="0.2">
      <c r="A558" s="366"/>
      <c r="B558" s="367"/>
      <c r="C558" s="367"/>
      <c r="D558" s="367"/>
      <c r="E558" s="367"/>
      <c r="F558" s="367"/>
      <c r="G558" s="367"/>
      <c r="H558" s="367"/>
      <c r="I558" s="367"/>
      <c r="J558" s="368"/>
    </row>
    <row r="559" spans="1:10" x14ac:dyDescent="0.2">
      <c r="A559" s="366"/>
      <c r="B559" s="367"/>
      <c r="C559" s="367"/>
      <c r="D559" s="367"/>
      <c r="E559" s="367"/>
      <c r="F559" s="367"/>
      <c r="G559" s="367"/>
      <c r="H559" s="367"/>
      <c r="I559" s="367"/>
      <c r="J559" s="368"/>
    </row>
    <row r="560" spans="1:10" x14ac:dyDescent="0.2">
      <c r="A560" s="366"/>
      <c r="B560" s="367"/>
      <c r="C560" s="367"/>
      <c r="D560" s="367"/>
      <c r="E560" s="367"/>
      <c r="F560" s="367"/>
      <c r="G560" s="367"/>
      <c r="H560" s="367"/>
      <c r="I560" s="367"/>
      <c r="J560" s="368"/>
    </row>
    <row r="561" spans="1:10" x14ac:dyDescent="0.2">
      <c r="A561" s="366"/>
      <c r="B561" s="367"/>
      <c r="C561" s="367"/>
      <c r="D561" s="367"/>
      <c r="E561" s="367"/>
      <c r="F561" s="367"/>
      <c r="G561" s="367"/>
      <c r="H561" s="367"/>
      <c r="I561" s="367"/>
      <c r="J561" s="368"/>
    </row>
    <row r="562" spans="1:10" x14ac:dyDescent="0.2">
      <c r="A562" s="366"/>
      <c r="B562" s="367"/>
      <c r="C562" s="367"/>
      <c r="D562" s="367"/>
      <c r="E562" s="367"/>
      <c r="F562" s="367"/>
      <c r="G562" s="367"/>
      <c r="H562" s="367"/>
      <c r="I562" s="367"/>
      <c r="J562" s="368"/>
    </row>
    <row r="563" spans="1:10" x14ac:dyDescent="0.2">
      <c r="A563" s="366"/>
      <c r="B563" s="367"/>
      <c r="C563" s="367"/>
      <c r="D563" s="367"/>
      <c r="E563" s="367"/>
      <c r="F563" s="367"/>
      <c r="G563" s="367"/>
      <c r="H563" s="367"/>
      <c r="I563" s="367"/>
      <c r="J563" s="368"/>
    </row>
    <row r="564" spans="1:10" x14ac:dyDescent="0.2">
      <c r="A564" s="366"/>
      <c r="B564" s="367"/>
      <c r="C564" s="367"/>
      <c r="D564" s="367"/>
      <c r="E564" s="367"/>
      <c r="F564" s="367"/>
      <c r="G564" s="367"/>
      <c r="H564" s="367"/>
      <c r="I564" s="367"/>
      <c r="J564" s="368"/>
    </row>
    <row r="565" spans="1:10" x14ac:dyDescent="0.2">
      <c r="A565" s="366"/>
      <c r="B565" s="367"/>
      <c r="C565" s="367"/>
      <c r="D565" s="367"/>
      <c r="E565" s="367"/>
      <c r="F565" s="367"/>
      <c r="G565" s="367"/>
      <c r="H565" s="367"/>
      <c r="I565" s="367"/>
      <c r="J565" s="368"/>
    </row>
    <row r="566" spans="1:10" x14ac:dyDescent="0.2">
      <c r="A566" s="366"/>
      <c r="B566" s="367"/>
      <c r="C566" s="367"/>
      <c r="D566" s="367"/>
      <c r="E566" s="367"/>
      <c r="F566" s="367"/>
      <c r="G566" s="367"/>
      <c r="H566" s="367"/>
      <c r="I566" s="367"/>
      <c r="J566" s="368"/>
    </row>
    <row r="567" spans="1:10" x14ac:dyDescent="0.2">
      <c r="A567" s="366"/>
      <c r="B567" s="367"/>
      <c r="C567" s="367"/>
      <c r="D567" s="367"/>
      <c r="E567" s="367"/>
      <c r="F567" s="367"/>
      <c r="G567" s="367"/>
      <c r="H567" s="367"/>
      <c r="I567" s="367"/>
      <c r="J567" s="368"/>
    </row>
    <row r="568" spans="1:10" x14ac:dyDescent="0.2">
      <c r="A568" s="366"/>
      <c r="B568" s="367"/>
      <c r="C568" s="367"/>
      <c r="D568" s="367"/>
      <c r="E568" s="367"/>
      <c r="F568" s="367"/>
      <c r="G568" s="367"/>
      <c r="H568" s="367"/>
      <c r="I568" s="367"/>
      <c r="J568" s="368"/>
    </row>
    <row r="569" spans="1:10" x14ac:dyDescent="0.2">
      <c r="A569" s="366"/>
      <c r="B569" s="367"/>
      <c r="C569" s="367"/>
      <c r="D569" s="367"/>
      <c r="E569" s="367"/>
      <c r="F569" s="367"/>
      <c r="G569" s="367"/>
      <c r="H569" s="367"/>
      <c r="I569" s="367"/>
      <c r="J569" s="368"/>
    </row>
    <row r="570" spans="1:10" x14ac:dyDescent="0.2">
      <c r="A570" s="366"/>
      <c r="B570" s="367"/>
      <c r="C570" s="367"/>
      <c r="D570" s="367"/>
      <c r="E570" s="367"/>
      <c r="F570" s="367"/>
      <c r="G570" s="367"/>
      <c r="H570" s="367"/>
      <c r="I570" s="367"/>
      <c r="J570" s="368"/>
    </row>
    <row r="571" spans="1:10" x14ac:dyDescent="0.2">
      <c r="A571" s="366"/>
      <c r="B571" s="367"/>
      <c r="C571" s="367"/>
      <c r="D571" s="367"/>
      <c r="E571" s="367"/>
      <c r="F571" s="367"/>
      <c r="G571" s="367"/>
      <c r="H571" s="367"/>
      <c r="I571" s="367"/>
      <c r="J571" s="368"/>
    </row>
    <row r="572" spans="1:10" x14ac:dyDescent="0.2">
      <c r="A572" s="366"/>
      <c r="B572" s="367"/>
      <c r="C572" s="367"/>
      <c r="D572" s="367"/>
      <c r="E572" s="367"/>
      <c r="F572" s="367"/>
      <c r="G572" s="367"/>
      <c r="H572" s="367"/>
      <c r="I572" s="367"/>
      <c r="J572" s="368"/>
    </row>
    <row r="573" spans="1:10" x14ac:dyDescent="0.2">
      <c r="A573" s="366"/>
      <c r="B573" s="367"/>
      <c r="C573" s="367"/>
      <c r="D573" s="367"/>
      <c r="E573" s="367"/>
      <c r="F573" s="367"/>
      <c r="G573" s="367"/>
      <c r="H573" s="367"/>
      <c r="I573" s="367"/>
      <c r="J573" s="368"/>
    </row>
    <row r="574" spans="1:10" x14ac:dyDescent="0.2">
      <c r="A574" s="366"/>
      <c r="B574" s="367"/>
      <c r="C574" s="367"/>
      <c r="D574" s="367"/>
      <c r="E574" s="367"/>
      <c r="F574" s="367"/>
      <c r="G574" s="367"/>
      <c r="H574" s="367"/>
      <c r="I574" s="367"/>
      <c r="J574" s="368"/>
    </row>
    <row r="575" spans="1:10" x14ac:dyDescent="0.2">
      <c r="A575" s="366"/>
      <c r="B575" s="367"/>
      <c r="C575" s="367"/>
      <c r="D575" s="367"/>
      <c r="E575" s="367"/>
      <c r="F575" s="367"/>
      <c r="G575" s="367"/>
      <c r="H575" s="367"/>
      <c r="I575" s="367"/>
      <c r="J575" s="368"/>
    </row>
    <row r="576" spans="1:10" x14ac:dyDescent="0.2">
      <c r="A576" s="369"/>
      <c r="B576" s="370"/>
      <c r="C576" s="370"/>
      <c r="D576" s="370"/>
      <c r="E576" s="370"/>
      <c r="F576" s="370"/>
      <c r="G576" s="370"/>
      <c r="H576" s="370"/>
      <c r="I576" s="370"/>
      <c r="J576" s="371"/>
    </row>
    <row r="578" spans="1:10" ht="15.75" x14ac:dyDescent="0.25">
      <c r="A578" s="280" t="s">
        <v>847</v>
      </c>
      <c r="B578" s="281"/>
      <c r="C578" s="281"/>
      <c r="D578" s="281"/>
      <c r="E578" s="281"/>
      <c r="F578" s="281"/>
      <c r="G578" s="281"/>
      <c r="H578" s="278" t="str">
        <f>'CONTACT INFORMATION'!$A$24</f>
        <v>Los Angeles</v>
      </c>
      <c r="I578" s="278"/>
      <c r="J578" s="279"/>
    </row>
    <row r="579" spans="1:10" ht="8.1" customHeight="1" x14ac:dyDescent="0.2">
      <c r="A579" s="124"/>
      <c r="B579" s="124"/>
      <c r="C579" s="124"/>
      <c r="D579" s="124"/>
      <c r="E579" s="124"/>
      <c r="F579" s="124"/>
      <c r="G579" s="124"/>
      <c r="H579" s="124"/>
      <c r="I579" s="124"/>
      <c r="J579" s="124"/>
    </row>
    <row r="580" spans="1:10" ht="15" x14ac:dyDescent="0.25">
      <c r="A580" s="387" t="s">
        <v>858</v>
      </c>
      <c r="B580" s="388"/>
      <c r="C580" s="388"/>
      <c r="D580" s="388"/>
      <c r="E580" s="388"/>
      <c r="F580" s="388"/>
      <c r="G580" s="388"/>
      <c r="H580" s="388"/>
      <c r="I580" s="388"/>
      <c r="J580" s="389"/>
    </row>
    <row r="581" spans="1:10" ht="12.75" customHeight="1" x14ac:dyDescent="0.2">
      <c r="A581" s="390" t="s">
        <v>853</v>
      </c>
      <c r="B581" s="391"/>
      <c r="C581" s="391"/>
      <c r="D581" s="392"/>
      <c r="E581" s="393" t="s">
        <v>942</v>
      </c>
      <c r="F581" s="394"/>
      <c r="G581" s="394"/>
      <c r="H581" s="394"/>
      <c r="I581" s="394"/>
      <c r="J581" s="395"/>
    </row>
    <row r="582" spans="1:10" ht="12.75" customHeight="1" x14ac:dyDescent="0.2">
      <c r="A582" s="399" t="s">
        <v>852</v>
      </c>
      <c r="B582" s="400"/>
      <c r="C582" s="400"/>
      <c r="D582" s="401"/>
      <c r="E582" s="396"/>
      <c r="F582" s="397"/>
      <c r="G582" s="397"/>
      <c r="H582" s="397"/>
      <c r="I582" s="397"/>
      <c r="J582" s="398"/>
    </row>
    <row r="583" spans="1:10" x14ac:dyDescent="0.2">
      <c r="A583" s="402" t="s">
        <v>808</v>
      </c>
      <c r="B583" s="403"/>
      <c r="C583" s="403"/>
      <c r="D583" s="404"/>
      <c r="E583" s="405"/>
      <c r="F583" s="406"/>
      <c r="G583" s="406"/>
      <c r="H583" s="406"/>
      <c r="I583" s="406"/>
      <c r="J583" s="407"/>
    </row>
    <row r="584" spans="1:10" ht="27" customHeight="1" x14ac:dyDescent="0.2">
      <c r="A584" s="118"/>
      <c r="B584" s="158"/>
      <c r="C584" s="158"/>
      <c r="D584" s="158"/>
      <c r="E584" s="378" t="s">
        <v>535</v>
      </c>
      <c r="F584" s="379"/>
      <c r="G584" s="378" t="s">
        <v>533</v>
      </c>
      <c r="H584" s="379"/>
      <c r="I584" s="380" t="s">
        <v>848</v>
      </c>
      <c r="J584" s="381"/>
    </row>
    <row r="585" spans="1:10" x14ac:dyDescent="0.2">
      <c r="A585" s="382" t="s">
        <v>527</v>
      </c>
      <c r="B585" s="383"/>
      <c r="C585" s="383"/>
      <c r="D585" s="384"/>
      <c r="E585" s="385"/>
      <c r="F585" s="385"/>
      <c r="G585" s="385"/>
      <c r="H585" s="385"/>
      <c r="I585" s="386"/>
      <c r="J585" s="386"/>
    </row>
    <row r="586" spans="1:10" x14ac:dyDescent="0.2">
      <c r="A586" s="372" t="s">
        <v>528</v>
      </c>
      <c r="B586" s="373"/>
      <c r="C586" s="373"/>
      <c r="D586" s="374"/>
      <c r="E586" s="375">
        <v>2912603</v>
      </c>
      <c r="F586" s="375"/>
      <c r="G586" s="376"/>
      <c r="H586" s="376"/>
      <c r="I586" s="377"/>
      <c r="J586" s="377"/>
    </row>
    <row r="587" spans="1:10" x14ac:dyDescent="0.2">
      <c r="A587" s="382" t="s">
        <v>529</v>
      </c>
      <c r="B587" s="383"/>
      <c r="C587" s="383"/>
      <c r="D587" s="384"/>
      <c r="E587" s="385">
        <v>50116</v>
      </c>
      <c r="F587" s="385"/>
      <c r="G587" s="385"/>
      <c r="H587" s="385"/>
      <c r="I587" s="386"/>
      <c r="J587" s="386"/>
    </row>
    <row r="588" spans="1:10" x14ac:dyDescent="0.2">
      <c r="A588" s="372" t="s">
        <v>530</v>
      </c>
      <c r="B588" s="373"/>
      <c r="C588" s="373"/>
      <c r="D588" s="374"/>
      <c r="E588" s="375">
        <v>173015</v>
      </c>
      <c r="F588" s="375"/>
      <c r="G588" s="376"/>
      <c r="H588" s="376"/>
      <c r="I588" s="377"/>
      <c r="J588" s="377"/>
    </row>
    <row r="589" spans="1:10" x14ac:dyDescent="0.2">
      <c r="A589" s="382" t="s">
        <v>531</v>
      </c>
      <c r="B589" s="383"/>
      <c r="C589" s="383"/>
      <c r="D589" s="384"/>
      <c r="E589" s="385"/>
      <c r="F589" s="385"/>
      <c r="G589" s="385"/>
      <c r="H589" s="385"/>
      <c r="I589" s="386"/>
      <c r="J589" s="386"/>
    </row>
    <row r="590" spans="1:10" x14ac:dyDescent="0.2">
      <c r="A590" s="372" t="s">
        <v>532</v>
      </c>
      <c r="B590" s="373"/>
      <c r="C590" s="373"/>
      <c r="D590" s="374"/>
      <c r="E590" s="375">
        <v>14367</v>
      </c>
      <c r="F590" s="375"/>
      <c r="G590" s="376"/>
      <c r="H590" s="376"/>
      <c r="I590" s="377"/>
      <c r="J590" s="377"/>
    </row>
    <row r="591" spans="1:10" x14ac:dyDescent="0.2">
      <c r="A591" s="382" t="s">
        <v>537</v>
      </c>
      <c r="B591" s="383"/>
      <c r="C591" s="383"/>
      <c r="D591" s="384"/>
      <c r="E591" s="418"/>
      <c r="F591" s="418"/>
      <c r="G591" s="418"/>
      <c r="H591" s="418"/>
      <c r="I591" s="419"/>
      <c r="J591" s="419"/>
    </row>
    <row r="592" spans="1:10" x14ac:dyDescent="0.2">
      <c r="A592" s="408" t="s">
        <v>963</v>
      </c>
      <c r="B592" s="409"/>
      <c r="C592" s="409"/>
      <c r="D592" s="410"/>
      <c r="E592" s="375">
        <v>37041</v>
      </c>
      <c r="F592" s="375"/>
      <c r="G592" s="376"/>
      <c r="H592" s="376"/>
      <c r="I592" s="376"/>
      <c r="J592" s="376"/>
    </row>
    <row r="593" spans="1:10" x14ac:dyDescent="0.2">
      <c r="A593" s="408" t="s">
        <v>964</v>
      </c>
      <c r="B593" s="409"/>
      <c r="C593" s="409"/>
      <c r="D593" s="410"/>
      <c r="E593" s="375">
        <v>23876</v>
      </c>
      <c r="F593" s="375"/>
      <c r="G593" s="376"/>
      <c r="H593" s="376"/>
      <c r="I593" s="376"/>
      <c r="J593" s="376"/>
    </row>
    <row r="594" spans="1:10" x14ac:dyDescent="0.2">
      <c r="A594" s="408"/>
      <c r="B594" s="409"/>
      <c r="C594" s="409"/>
      <c r="D594" s="410"/>
      <c r="E594" s="375"/>
      <c r="F594" s="375"/>
      <c r="G594" s="376"/>
      <c r="H594" s="376"/>
      <c r="I594" s="376"/>
      <c r="J594" s="376"/>
    </row>
    <row r="595" spans="1:10" x14ac:dyDescent="0.2">
      <c r="A595" s="411" t="s">
        <v>534</v>
      </c>
      <c r="B595" s="412"/>
      <c r="C595" s="412"/>
      <c r="D595" s="413"/>
      <c r="E595" s="414">
        <f>SUM(E585:E594)</f>
        <v>3211018</v>
      </c>
      <c r="F595" s="414"/>
      <c r="G595" s="414">
        <f>SUM(G585:G594)</f>
        <v>0</v>
      </c>
      <c r="H595" s="414"/>
      <c r="I595" s="414">
        <f>SUM(I585:I594)</f>
        <v>0</v>
      </c>
      <c r="J595" s="414"/>
    </row>
    <row r="596" spans="1:10" ht="12.75" customHeight="1" x14ac:dyDescent="0.2">
      <c r="A596" s="415" t="s">
        <v>860</v>
      </c>
      <c r="B596" s="416"/>
      <c r="C596" s="416"/>
      <c r="D596" s="416"/>
      <c r="E596" s="416"/>
      <c r="F596" s="416"/>
      <c r="G596" s="416"/>
      <c r="H596" s="416"/>
      <c r="I596" s="416"/>
      <c r="J596" s="417"/>
    </row>
    <row r="597" spans="1:10" ht="12.75" customHeight="1" x14ac:dyDescent="0.2">
      <c r="A597" s="358" t="s">
        <v>861</v>
      </c>
      <c r="B597" s="359"/>
      <c r="C597" s="359"/>
      <c r="D597" s="359"/>
      <c r="E597" s="359"/>
      <c r="F597" s="359"/>
      <c r="G597" s="359"/>
      <c r="H597" s="359"/>
      <c r="I597" s="359"/>
      <c r="J597" s="360"/>
    </row>
    <row r="598" spans="1:10" ht="12.75" customHeight="1" x14ac:dyDescent="0.2">
      <c r="A598" s="358" t="s">
        <v>862</v>
      </c>
      <c r="B598" s="359"/>
      <c r="C598" s="359"/>
      <c r="D598" s="359"/>
      <c r="E598" s="359"/>
      <c r="F598" s="359"/>
      <c r="G598" s="359"/>
      <c r="H598" s="359"/>
      <c r="I598" s="359"/>
      <c r="J598" s="360"/>
    </row>
    <row r="599" spans="1:10" ht="12.75" customHeight="1" x14ac:dyDescent="0.2">
      <c r="A599" s="361" t="s">
        <v>863</v>
      </c>
      <c r="B599" s="362"/>
      <c r="C599" s="362"/>
      <c r="D599" s="362"/>
      <c r="E599" s="362"/>
      <c r="F599" s="362"/>
      <c r="G599" s="362"/>
      <c r="H599" s="362"/>
      <c r="I599" s="362"/>
      <c r="J599" s="363"/>
    </row>
    <row r="600" spans="1:10" x14ac:dyDescent="0.2">
      <c r="A600" s="233" t="s">
        <v>997</v>
      </c>
      <c r="B600" s="364"/>
      <c r="C600" s="364"/>
      <c r="D600" s="364"/>
      <c r="E600" s="364"/>
      <c r="F600" s="364"/>
      <c r="G600" s="364"/>
      <c r="H600" s="364"/>
      <c r="I600" s="364"/>
      <c r="J600" s="365"/>
    </row>
    <row r="601" spans="1:10" x14ac:dyDescent="0.2">
      <c r="A601" s="366"/>
      <c r="B601" s="367"/>
      <c r="C601" s="367"/>
      <c r="D601" s="367"/>
      <c r="E601" s="367"/>
      <c r="F601" s="367"/>
      <c r="G601" s="367"/>
      <c r="H601" s="367"/>
      <c r="I601" s="367"/>
      <c r="J601" s="368"/>
    </row>
    <row r="602" spans="1:10" x14ac:dyDescent="0.2">
      <c r="A602" s="366"/>
      <c r="B602" s="367"/>
      <c r="C602" s="367"/>
      <c r="D602" s="367"/>
      <c r="E602" s="367"/>
      <c r="F602" s="367"/>
      <c r="G602" s="367"/>
      <c r="H602" s="367"/>
      <c r="I602" s="367"/>
      <c r="J602" s="368"/>
    </row>
    <row r="603" spans="1:10" x14ac:dyDescent="0.2">
      <c r="A603" s="366"/>
      <c r="B603" s="367"/>
      <c r="C603" s="367"/>
      <c r="D603" s="367"/>
      <c r="E603" s="367"/>
      <c r="F603" s="367"/>
      <c r="G603" s="367"/>
      <c r="H603" s="367"/>
      <c r="I603" s="367"/>
      <c r="J603" s="368"/>
    </row>
    <row r="604" spans="1:10" x14ac:dyDescent="0.2">
      <c r="A604" s="366"/>
      <c r="B604" s="367"/>
      <c r="C604" s="367"/>
      <c r="D604" s="367"/>
      <c r="E604" s="367"/>
      <c r="F604" s="367"/>
      <c r="G604" s="367"/>
      <c r="H604" s="367"/>
      <c r="I604" s="367"/>
      <c r="J604" s="368"/>
    </row>
    <row r="605" spans="1:10" x14ac:dyDescent="0.2">
      <c r="A605" s="366"/>
      <c r="B605" s="367"/>
      <c r="C605" s="367"/>
      <c r="D605" s="367"/>
      <c r="E605" s="367"/>
      <c r="F605" s="367"/>
      <c r="G605" s="367"/>
      <c r="H605" s="367"/>
      <c r="I605" s="367"/>
      <c r="J605" s="368"/>
    </row>
    <row r="606" spans="1:10" x14ac:dyDescent="0.2">
      <c r="A606" s="366"/>
      <c r="B606" s="367"/>
      <c r="C606" s="367"/>
      <c r="D606" s="367"/>
      <c r="E606" s="367"/>
      <c r="F606" s="367"/>
      <c r="G606" s="367"/>
      <c r="H606" s="367"/>
      <c r="I606" s="367"/>
      <c r="J606" s="368"/>
    </row>
    <row r="607" spans="1:10" x14ac:dyDescent="0.2">
      <c r="A607" s="366"/>
      <c r="B607" s="367"/>
      <c r="C607" s="367"/>
      <c r="D607" s="367"/>
      <c r="E607" s="367"/>
      <c r="F607" s="367"/>
      <c r="G607" s="367"/>
      <c r="H607" s="367"/>
      <c r="I607" s="367"/>
      <c r="J607" s="368"/>
    </row>
    <row r="608" spans="1:10" x14ac:dyDescent="0.2">
      <c r="A608" s="366"/>
      <c r="B608" s="367"/>
      <c r="C608" s="367"/>
      <c r="D608" s="367"/>
      <c r="E608" s="367"/>
      <c r="F608" s="367"/>
      <c r="G608" s="367"/>
      <c r="H608" s="367"/>
      <c r="I608" s="367"/>
      <c r="J608" s="368"/>
    </row>
    <row r="609" spans="1:10" x14ac:dyDescent="0.2">
      <c r="A609" s="366"/>
      <c r="B609" s="367"/>
      <c r="C609" s="367"/>
      <c r="D609" s="367"/>
      <c r="E609" s="367"/>
      <c r="F609" s="367"/>
      <c r="G609" s="367"/>
      <c r="H609" s="367"/>
      <c r="I609" s="367"/>
      <c r="J609" s="368"/>
    </row>
    <row r="610" spans="1:10" x14ac:dyDescent="0.2">
      <c r="A610" s="366"/>
      <c r="B610" s="367"/>
      <c r="C610" s="367"/>
      <c r="D610" s="367"/>
      <c r="E610" s="367"/>
      <c r="F610" s="367"/>
      <c r="G610" s="367"/>
      <c r="H610" s="367"/>
      <c r="I610" s="367"/>
      <c r="J610" s="368"/>
    </row>
    <row r="611" spans="1:10" x14ac:dyDescent="0.2">
      <c r="A611" s="366"/>
      <c r="B611" s="367"/>
      <c r="C611" s="367"/>
      <c r="D611" s="367"/>
      <c r="E611" s="367"/>
      <c r="F611" s="367"/>
      <c r="G611" s="367"/>
      <c r="H611" s="367"/>
      <c r="I611" s="367"/>
      <c r="J611" s="368"/>
    </row>
    <row r="612" spans="1:10" x14ac:dyDescent="0.2">
      <c r="A612" s="366"/>
      <c r="B612" s="367"/>
      <c r="C612" s="367"/>
      <c r="D612" s="367"/>
      <c r="E612" s="367"/>
      <c r="F612" s="367"/>
      <c r="G612" s="367"/>
      <c r="H612" s="367"/>
      <c r="I612" s="367"/>
      <c r="J612" s="368"/>
    </row>
    <row r="613" spans="1:10" x14ac:dyDescent="0.2">
      <c r="A613" s="366"/>
      <c r="B613" s="367"/>
      <c r="C613" s="367"/>
      <c r="D613" s="367"/>
      <c r="E613" s="367"/>
      <c r="F613" s="367"/>
      <c r="G613" s="367"/>
      <c r="H613" s="367"/>
      <c r="I613" s="367"/>
      <c r="J613" s="368"/>
    </row>
    <row r="614" spans="1:10" x14ac:dyDescent="0.2">
      <c r="A614" s="366"/>
      <c r="B614" s="367"/>
      <c r="C614" s="367"/>
      <c r="D614" s="367"/>
      <c r="E614" s="367"/>
      <c r="F614" s="367"/>
      <c r="G614" s="367"/>
      <c r="H614" s="367"/>
      <c r="I614" s="367"/>
      <c r="J614" s="368"/>
    </row>
    <row r="615" spans="1:10" x14ac:dyDescent="0.2">
      <c r="A615" s="366"/>
      <c r="B615" s="367"/>
      <c r="C615" s="367"/>
      <c r="D615" s="367"/>
      <c r="E615" s="367"/>
      <c r="F615" s="367"/>
      <c r="G615" s="367"/>
      <c r="H615" s="367"/>
      <c r="I615" s="367"/>
      <c r="J615" s="368"/>
    </row>
    <row r="616" spans="1:10" x14ac:dyDescent="0.2">
      <c r="A616" s="366"/>
      <c r="B616" s="367"/>
      <c r="C616" s="367"/>
      <c r="D616" s="367"/>
      <c r="E616" s="367"/>
      <c r="F616" s="367"/>
      <c r="G616" s="367"/>
      <c r="H616" s="367"/>
      <c r="I616" s="367"/>
      <c r="J616" s="368"/>
    </row>
    <row r="617" spans="1:10" x14ac:dyDescent="0.2">
      <c r="A617" s="366"/>
      <c r="B617" s="367"/>
      <c r="C617" s="367"/>
      <c r="D617" s="367"/>
      <c r="E617" s="367"/>
      <c r="F617" s="367"/>
      <c r="G617" s="367"/>
      <c r="H617" s="367"/>
      <c r="I617" s="367"/>
      <c r="J617" s="368"/>
    </row>
    <row r="618" spans="1:10" x14ac:dyDescent="0.2">
      <c r="A618" s="366"/>
      <c r="B618" s="367"/>
      <c r="C618" s="367"/>
      <c r="D618" s="367"/>
      <c r="E618" s="367"/>
      <c r="F618" s="367"/>
      <c r="G618" s="367"/>
      <c r="H618" s="367"/>
      <c r="I618" s="367"/>
      <c r="J618" s="368"/>
    </row>
    <row r="619" spans="1:10" x14ac:dyDescent="0.2">
      <c r="A619" s="366"/>
      <c r="B619" s="367"/>
      <c r="C619" s="367"/>
      <c r="D619" s="367"/>
      <c r="E619" s="367"/>
      <c r="F619" s="367"/>
      <c r="G619" s="367"/>
      <c r="H619" s="367"/>
      <c r="I619" s="367"/>
      <c r="J619" s="368"/>
    </row>
    <row r="620" spans="1:10" x14ac:dyDescent="0.2">
      <c r="A620" s="366"/>
      <c r="B620" s="367"/>
      <c r="C620" s="367"/>
      <c r="D620" s="367"/>
      <c r="E620" s="367"/>
      <c r="F620" s="367"/>
      <c r="G620" s="367"/>
      <c r="H620" s="367"/>
      <c r="I620" s="367"/>
      <c r="J620" s="368"/>
    </row>
    <row r="621" spans="1:10" x14ac:dyDescent="0.2">
      <c r="A621" s="366"/>
      <c r="B621" s="367"/>
      <c r="C621" s="367"/>
      <c r="D621" s="367"/>
      <c r="E621" s="367"/>
      <c r="F621" s="367"/>
      <c r="G621" s="367"/>
      <c r="H621" s="367"/>
      <c r="I621" s="367"/>
      <c r="J621" s="368"/>
    </row>
    <row r="622" spans="1:10" x14ac:dyDescent="0.2">
      <c r="A622" s="366"/>
      <c r="B622" s="367"/>
      <c r="C622" s="367"/>
      <c r="D622" s="367"/>
      <c r="E622" s="367"/>
      <c r="F622" s="367"/>
      <c r="G622" s="367"/>
      <c r="H622" s="367"/>
      <c r="I622" s="367"/>
      <c r="J622" s="368"/>
    </row>
    <row r="623" spans="1:10" x14ac:dyDescent="0.2">
      <c r="A623" s="366"/>
      <c r="B623" s="367"/>
      <c r="C623" s="367"/>
      <c r="D623" s="367"/>
      <c r="E623" s="367"/>
      <c r="F623" s="367"/>
      <c r="G623" s="367"/>
      <c r="H623" s="367"/>
      <c r="I623" s="367"/>
      <c r="J623" s="368"/>
    </row>
    <row r="624" spans="1:10" x14ac:dyDescent="0.2">
      <c r="A624" s="366"/>
      <c r="B624" s="367"/>
      <c r="C624" s="367"/>
      <c r="D624" s="367"/>
      <c r="E624" s="367"/>
      <c r="F624" s="367"/>
      <c r="G624" s="367"/>
      <c r="H624" s="367"/>
      <c r="I624" s="367"/>
      <c r="J624" s="368"/>
    </row>
    <row r="625" spans="1:10" x14ac:dyDescent="0.2">
      <c r="A625" s="366"/>
      <c r="B625" s="367"/>
      <c r="C625" s="367"/>
      <c r="D625" s="367"/>
      <c r="E625" s="367"/>
      <c r="F625" s="367"/>
      <c r="G625" s="367"/>
      <c r="H625" s="367"/>
      <c r="I625" s="367"/>
      <c r="J625" s="368"/>
    </row>
    <row r="626" spans="1:10" x14ac:dyDescent="0.2">
      <c r="A626" s="366"/>
      <c r="B626" s="367"/>
      <c r="C626" s="367"/>
      <c r="D626" s="367"/>
      <c r="E626" s="367"/>
      <c r="F626" s="367"/>
      <c r="G626" s="367"/>
      <c r="H626" s="367"/>
      <c r="I626" s="367"/>
      <c r="J626" s="368"/>
    </row>
    <row r="627" spans="1:10" x14ac:dyDescent="0.2">
      <c r="A627" s="366"/>
      <c r="B627" s="367"/>
      <c r="C627" s="367"/>
      <c r="D627" s="367"/>
      <c r="E627" s="367"/>
      <c r="F627" s="367"/>
      <c r="G627" s="367"/>
      <c r="H627" s="367"/>
      <c r="I627" s="367"/>
      <c r="J627" s="368"/>
    </row>
    <row r="628" spans="1:10" x14ac:dyDescent="0.2">
      <c r="A628" s="366"/>
      <c r="B628" s="367"/>
      <c r="C628" s="367"/>
      <c r="D628" s="367"/>
      <c r="E628" s="367"/>
      <c r="F628" s="367"/>
      <c r="G628" s="367"/>
      <c r="H628" s="367"/>
      <c r="I628" s="367"/>
      <c r="J628" s="368"/>
    </row>
    <row r="629" spans="1:10" x14ac:dyDescent="0.2">
      <c r="A629" s="366"/>
      <c r="B629" s="367"/>
      <c r="C629" s="367"/>
      <c r="D629" s="367"/>
      <c r="E629" s="367"/>
      <c r="F629" s="367"/>
      <c r="G629" s="367"/>
      <c r="H629" s="367"/>
      <c r="I629" s="367"/>
      <c r="J629" s="368"/>
    </row>
    <row r="630" spans="1:10" x14ac:dyDescent="0.2">
      <c r="A630" s="366"/>
      <c r="B630" s="367"/>
      <c r="C630" s="367"/>
      <c r="D630" s="367"/>
      <c r="E630" s="367"/>
      <c r="F630" s="367"/>
      <c r="G630" s="367"/>
      <c r="H630" s="367"/>
      <c r="I630" s="367"/>
      <c r="J630" s="368"/>
    </row>
    <row r="631" spans="1:10" x14ac:dyDescent="0.2">
      <c r="A631" s="366"/>
      <c r="B631" s="367"/>
      <c r="C631" s="367"/>
      <c r="D631" s="367"/>
      <c r="E631" s="367"/>
      <c r="F631" s="367"/>
      <c r="G631" s="367"/>
      <c r="H631" s="367"/>
      <c r="I631" s="367"/>
      <c r="J631" s="368"/>
    </row>
    <row r="632" spans="1:10" x14ac:dyDescent="0.2">
      <c r="A632" s="366"/>
      <c r="B632" s="367"/>
      <c r="C632" s="367"/>
      <c r="D632" s="367"/>
      <c r="E632" s="367"/>
      <c r="F632" s="367"/>
      <c r="G632" s="367"/>
      <c r="H632" s="367"/>
      <c r="I632" s="367"/>
      <c r="J632" s="368"/>
    </row>
    <row r="633" spans="1:10" x14ac:dyDescent="0.2">
      <c r="A633" s="366"/>
      <c r="B633" s="367"/>
      <c r="C633" s="367"/>
      <c r="D633" s="367"/>
      <c r="E633" s="367"/>
      <c r="F633" s="367"/>
      <c r="G633" s="367"/>
      <c r="H633" s="367"/>
      <c r="I633" s="367"/>
      <c r="J633" s="368"/>
    </row>
    <row r="634" spans="1:10" x14ac:dyDescent="0.2">
      <c r="A634" s="369"/>
      <c r="B634" s="370"/>
      <c r="C634" s="370"/>
      <c r="D634" s="370"/>
      <c r="E634" s="370"/>
      <c r="F634" s="370"/>
      <c r="G634" s="370"/>
      <c r="H634" s="370"/>
      <c r="I634" s="370"/>
      <c r="J634" s="371"/>
    </row>
    <row r="636" spans="1:10" ht="15.75" x14ac:dyDescent="0.25">
      <c r="A636" s="280" t="s">
        <v>847</v>
      </c>
      <c r="B636" s="281"/>
      <c r="C636" s="281"/>
      <c r="D636" s="281"/>
      <c r="E636" s="281"/>
      <c r="F636" s="281"/>
      <c r="G636" s="281"/>
      <c r="H636" s="278" t="str">
        <f>'CONTACT INFORMATION'!$A$24</f>
        <v>Los Angeles</v>
      </c>
      <c r="I636" s="278"/>
      <c r="J636" s="279"/>
    </row>
    <row r="637" spans="1:10" ht="8.1" customHeight="1" x14ac:dyDescent="0.2">
      <c r="A637" s="124"/>
      <c r="B637" s="124"/>
      <c r="C637" s="124"/>
      <c r="D637" s="124"/>
      <c r="E637" s="124"/>
      <c r="F637" s="124"/>
      <c r="G637" s="124"/>
      <c r="H637" s="124"/>
      <c r="I637" s="124"/>
      <c r="J637" s="124"/>
    </row>
    <row r="638" spans="1:10" ht="15" x14ac:dyDescent="0.25">
      <c r="A638" s="387" t="s">
        <v>859</v>
      </c>
      <c r="B638" s="388"/>
      <c r="C638" s="388"/>
      <c r="D638" s="388"/>
      <c r="E638" s="388"/>
      <c r="F638" s="388"/>
      <c r="G638" s="388"/>
      <c r="H638" s="388"/>
      <c r="I638" s="388"/>
      <c r="J638" s="389"/>
    </row>
    <row r="639" spans="1:10" x14ac:dyDescent="0.2">
      <c r="A639" s="390" t="s">
        <v>853</v>
      </c>
      <c r="B639" s="391"/>
      <c r="C639" s="391"/>
      <c r="D639" s="392"/>
      <c r="E639" s="393" t="s">
        <v>943</v>
      </c>
      <c r="F639" s="394"/>
      <c r="G639" s="394"/>
      <c r="H639" s="394"/>
      <c r="I639" s="394"/>
      <c r="J639" s="395"/>
    </row>
    <row r="640" spans="1:10" x14ac:dyDescent="0.2">
      <c r="A640" s="399" t="s">
        <v>852</v>
      </c>
      <c r="B640" s="400"/>
      <c r="C640" s="400"/>
      <c r="D640" s="401"/>
      <c r="E640" s="396"/>
      <c r="F640" s="397"/>
      <c r="G640" s="397"/>
      <c r="H640" s="397"/>
      <c r="I640" s="397"/>
      <c r="J640" s="398"/>
    </row>
    <row r="641" spans="1:10" x14ac:dyDescent="0.2">
      <c r="A641" s="402" t="s">
        <v>808</v>
      </c>
      <c r="B641" s="403"/>
      <c r="C641" s="403"/>
      <c r="D641" s="404"/>
      <c r="E641" s="405"/>
      <c r="F641" s="406"/>
      <c r="G641" s="406"/>
      <c r="H641" s="406"/>
      <c r="I641" s="406"/>
      <c r="J641" s="407"/>
    </row>
    <row r="642" spans="1:10" ht="27" customHeight="1" x14ac:dyDescent="0.2">
      <c r="A642" s="118"/>
      <c r="B642" s="158"/>
      <c r="C642" s="158"/>
      <c r="D642" s="158"/>
      <c r="E642" s="378" t="s">
        <v>535</v>
      </c>
      <c r="F642" s="379"/>
      <c r="G642" s="378" t="s">
        <v>533</v>
      </c>
      <c r="H642" s="379"/>
      <c r="I642" s="380" t="s">
        <v>848</v>
      </c>
      <c r="J642" s="381"/>
    </row>
    <row r="643" spans="1:10" x14ac:dyDescent="0.2">
      <c r="A643" s="382" t="s">
        <v>527</v>
      </c>
      <c r="B643" s="383"/>
      <c r="C643" s="383"/>
      <c r="D643" s="384"/>
      <c r="E643" s="385"/>
      <c r="F643" s="385"/>
      <c r="G643" s="385"/>
      <c r="H643" s="385"/>
      <c r="I643" s="386"/>
      <c r="J643" s="386"/>
    </row>
    <row r="644" spans="1:10" x14ac:dyDescent="0.2">
      <c r="A644" s="372" t="s">
        <v>528</v>
      </c>
      <c r="B644" s="373"/>
      <c r="C644" s="373"/>
      <c r="D644" s="374"/>
      <c r="E644" s="375">
        <v>303502</v>
      </c>
      <c r="F644" s="375"/>
      <c r="G644" s="376"/>
      <c r="H644" s="376"/>
      <c r="I644" s="377"/>
      <c r="J644" s="377"/>
    </row>
    <row r="645" spans="1:10" x14ac:dyDescent="0.2">
      <c r="A645" s="382" t="s">
        <v>529</v>
      </c>
      <c r="B645" s="383"/>
      <c r="C645" s="383"/>
      <c r="D645" s="384"/>
      <c r="E645" s="385">
        <v>8910</v>
      </c>
      <c r="F645" s="385"/>
      <c r="G645" s="385"/>
      <c r="H645" s="385"/>
      <c r="I645" s="386"/>
      <c r="J645" s="386"/>
    </row>
    <row r="646" spans="1:10" x14ac:dyDescent="0.2">
      <c r="A646" s="372" t="s">
        <v>530</v>
      </c>
      <c r="B646" s="373"/>
      <c r="C646" s="373"/>
      <c r="D646" s="374"/>
      <c r="E646" s="375">
        <v>245062</v>
      </c>
      <c r="F646" s="375"/>
      <c r="G646" s="376"/>
      <c r="H646" s="376"/>
      <c r="I646" s="377"/>
      <c r="J646" s="377"/>
    </row>
    <row r="647" spans="1:10" x14ac:dyDescent="0.2">
      <c r="A647" s="382" t="s">
        <v>531</v>
      </c>
      <c r="B647" s="383"/>
      <c r="C647" s="383"/>
      <c r="D647" s="384"/>
      <c r="E647" s="385"/>
      <c r="F647" s="385"/>
      <c r="G647" s="385"/>
      <c r="H647" s="385"/>
      <c r="I647" s="386"/>
      <c r="J647" s="386"/>
    </row>
    <row r="648" spans="1:10" x14ac:dyDescent="0.2">
      <c r="A648" s="372" t="s">
        <v>532</v>
      </c>
      <c r="B648" s="373"/>
      <c r="C648" s="373"/>
      <c r="D648" s="374"/>
      <c r="E648" s="375">
        <v>2554</v>
      </c>
      <c r="F648" s="375"/>
      <c r="G648" s="376"/>
      <c r="H648" s="376"/>
      <c r="I648" s="377"/>
      <c r="J648" s="377"/>
    </row>
    <row r="649" spans="1:10" x14ac:dyDescent="0.2">
      <c r="A649" s="382" t="s">
        <v>537</v>
      </c>
      <c r="B649" s="383"/>
      <c r="C649" s="383"/>
      <c r="D649" s="384"/>
      <c r="E649" s="418"/>
      <c r="F649" s="418"/>
      <c r="G649" s="418"/>
      <c r="H649" s="418"/>
      <c r="I649" s="419"/>
      <c r="J649" s="419"/>
    </row>
    <row r="650" spans="1:10" x14ac:dyDescent="0.2">
      <c r="A650" s="408" t="s">
        <v>963</v>
      </c>
      <c r="B650" s="409"/>
      <c r="C650" s="409"/>
      <c r="D650" s="410"/>
      <c r="E650" s="375">
        <v>6585</v>
      </c>
      <c r="F650" s="375"/>
      <c r="G650" s="376"/>
      <c r="H650" s="376"/>
      <c r="I650" s="376"/>
      <c r="J650" s="376"/>
    </row>
    <row r="651" spans="1:10" x14ac:dyDescent="0.2">
      <c r="A651" s="408" t="s">
        <v>964</v>
      </c>
      <c r="B651" s="409"/>
      <c r="C651" s="409"/>
      <c r="D651" s="410"/>
      <c r="E651" s="375">
        <v>4245</v>
      </c>
      <c r="F651" s="375"/>
      <c r="G651" s="376"/>
      <c r="H651" s="376"/>
      <c r="I651" s="376"/>
      <c r="J651" s="376"/>
    </row>
    <row r="652" spans="1:10" x14ac:dyDescent="0.2">
      <c r="A652" s="408"/>
      <c r="B652" s="409"/>
      <c r="C652" s="409"/>
      <c r="D652" s="410"/>
      <c r="E652" s="375"/>
      <c r="F652" s="375"/>
      <c r="G652" s="376"/>
      <c r="H652" s="376"/>
      <c r="I652" s="376"/>
      <c r="J652" s="376"/>
    </row>
    <row r="653" spans="1:10" x14ac:dyDescent="0.2">
      <c r="A653" s="411" t="s">
        <v>534</v>
      </c>
      <c r="B653" s="412"/>
      <c r="C653" s="412"/>
      <c r="D653" s="413"/>
      <c r="E653" s="414">
        <f>SUM(E643:E652)</f>
        <v>570858</v>
      </c>
      <c r="F653" s="414"/>
      <c r="G653" s="414">
        <f>SUM(G643:G652)</f>
        <v>0</v>
      </c>
      <c r="H653" s="414"/>
      <c r="I653" s="414">
        <f>SUM(I643:I652)</f>
        <v>0</v>
      </c>
      <c r="J653" s="414"/>
    </row>
    <row r="654" spans="1:10" x14ac:dyDescent="0.2">
      <c r="A654" s="415" t="s">
        <v>860</v>
      </c>
      <c r="B654" s="416"/>
      <c r="C654" s="416"/>
      <c r="D654" s="416"/>
      <c r="E654" s="416"/>
      <c r="F654" s="416"/>
      <c r="G654" s="416"/>
      <c r="H654" s="416"/>
      <c r="I654" s="416"/>
      <c r="J654" s="417"/>
    </row>
    <row r="655" spans="1:10" x14ac:dyDescent="0.2">
      <c r="A655" s="358" t="s">
        <v>861</v>
      </c>
      <c r="B655" s="359"/>
      <c r="C655" s="359"/>
      <c r="D655" s="359"/>
      <c r="E655" s="359"/>
      <c r="F655" s="359"/>
      <c r="G655" s="359"/>
      <c r="H655" s="359"/>
      <c r="I655" s="359"/>
      <c r="J655" s="360"/>
    </row>
    <row r="656" spans="1:10" x14ac:dyDescent="0.2">
      <c r="A656" s="358" t="s">
        <v>862</v>
      </c>
      <c r="B656" s="359"/>
      <c r="C656" s="359"/>
      <c r="D656" s="359"/>
      <c r="E656" s="359"/>
      <c r="F656" s="359"/>
      <c r="G656" s="359"/>
      <c r="H656" s="359"/>
      <c r="I656" s="359"/>
      <c r="J656" s="360"/>
    </row>
    <row r="657" spans="1:10" x14ac:dyDescent="0.2">
      <c r="A657" s="361" t="s">
        <v>863</v>
      </c>
      <c r="B657" s="362"/>
      <c r="C657" s="362"/>
      <c r="D657" s="362"/>
      <c r="E657" s="362"/>
      <c r="F657" s="362"/>
      <c r="G657" s="362"/>
      <c r="H657" s="362"/>
      <c r="I657" s="362"/>
      <c r="J657" s="363"/>
    </row>
    <row r="658" spans="1:10" x14ac:dyDescent="0.2">
      <c r="A658" s="233" t="s">
        <v>944</v>
      </c>
      <c r="B658" s="364"/>
      <c r="C658" s="364"/>
      <c r="D658" s="364"/>
      <c r="E658" s="364"/>
      <c r="F658" s="364"/>
      <c r="G658" s="364"/>
      <c r="H658" s="364"/>
      <c r="I658" s="364"/>
      <c r="J658" s="365"/>
    </row>
    <row r="659" spans="1:10" x14ac:dyDescent="0.2">
      <c r="A659" s="366"/>
      <c r="B659" s="367"/>
      <c r="C659" s="367"/>
      <c r="D659" s="367"/>
      <c r="E659" s="367"/>
      <c r="F659" s="367"/>
      <c r="G659" s="367"/>
      <c r="H659" s="367"/>
      <c r="I659" s="367"/>
      <c r="J659" s="368"/>
    </row>
    <row r="660" spans="1:10" x14ac:dyDescent="0.2">
      <c r="A660" s="366"/>
      <c r="B660" s="367"/>
      <c r="C660" s="367"/>
      <c r="D660" s="367"/>
      <c r="E660" s="367"/>
      <c r="F660" s="367"/>
      <c r="G660" s="367"/>
      <c r="H660" s="367"/>
      <c r="I660" s="367"/>
      <c r="J660" s="368"/>
    </row>
    <row r="661" spans="1:10" x14ac:dyDescent="0.2">
      <c r="A661" s="366"/>
      <c r="B661" s="367"/>
      <c r="C661" s="367"/>
      <c r="D661" s="367"/>
      <c r="E661" s="367"/>
      <c r="F661" s="367"/>
      <c r="G661" s="367"/>
      <c r="H661" s="367"/>
      <c r="I661" s="367"/>
      <c r="J661" s="368"/>
    </row>
    <row r="662" spans="1:10" x14ac:dyDescent="0.2">
      <c r="A662" s="366"/>
      <c r="B662" s="367"/>
      <c r="C662" s="367"/>
      <c r="D662" s="367"/>
      <c r="E662" s="367"/>
      <c r="F662" s="367"/>
      <c r="G662" s="367"/>
      <c r="H662" s="367"/>
      <c r="I662" s="367"/>
      <c r="J662" s="368"/>
    </row>
    <row r="663" spans="1:10" x14ac:dyDescent="0.2">
      <c r="A663" s="366"/>
      <c r="B663" s="367"/>
      <c r="C663" s="367"/>
      <c r="D663" s="367"/>
      <c r="E663" s="367"/>
      <c r="F663" s="367"/>
      <c r="G663" s="367"/>
      <c r="H663" s="367"/>
      <c r="I663" s="367"/>
      <c r="J663" s="368"/>
    </row>
    <row r="664" spans="1:10" x14ac:dyDescent="0.2">
      <c r="A664" s="366"/>
      <c r="B664" s="367"/>
      <c r="C664" s="367"/>
      <c r="D664" s="367"/>
      <c r="E664" s="367"/>
      <c r="F664" s="367"/>
      <c r="G664" s="367"/>
      <c r="H664" s="367"/>
      <c r="I664" s="367"/>
      <c r="J664" s="368"/>
    </row>
    <row r="665" spans="1:10" x14ac:dyDescent="0.2">
      <c r="A665" s="366"/>
      <c r="B665" s="367"/>
      <c r="C665" s="367"/>
      <c r="D665" s="367"/>
      <c r="E665" s="367"/>
      <c r="F665" s="367"/>
      <c r="G665" s="367"/>
      <c r="H665" s="367"/>
      <c r="I665" s="367"/>
      <c r="J665" s="368"/>
    </row>
    <row r="666" spans="1:10" x14ac:dyDescent="0.2">
      <c r="A666" s="366"/>
      <c r="B666" s="367"/>
      <c r="C666" s="367"/>
      <c r="D666" s="367"/>
      <c r="E666" s="367"/>
      <c r="F666" s="367"/>
      <c r="G666" s="367"/>
      <c r="H666" s="367"/>
      <c r="I666" s="367"/>
      <c r="J666" s="368"/>
    </row>
    <row r="667" spans="1:10" x14ac:dyDescent="0.2">
      <c r="A667" s="366"/>
      <c r="B667" s="367"/>
      <c r="C667" s="367"/>
      <c r="D667" s="367"/>
      <c r="E667" s="367"/>
      <c r="F667" s="367"/>
      <c r="G667" s="367"/>
      <c r="H667" s="367"/>
      <c r="I667" s="367"/>
      <c r="J667" s="368"/>
    </row>
    <row r="668" spans="1:10" x14ac:dyDescent="0.2">
      <c r="A668" s="366"/>
      <c r="B668" s="367"/>
      <c r="C668" s="367"/>
      <c r="D668" s="367"/>
      <c r="E668" s="367"/>
      <c r="F668" s="367"/>
      <c r="G668" s="367"/>
      <c r="H668" s="367"/>
      <c r="I668" s="367"/>
      <c r="J668" s="368"/>
    </row>
    <row r="669" spans="1:10" x14ac:dyDescent="0.2">
      <c r="A669" s="366"/>
      <c r="B669" s="367"/>
      <c r="C669" s="367"/>
      <c r="D669" s="367"/>
      <c r="E669" s="367"/>
      <c r="F669" s="367"/>
      <c r="G669" s="367"/>
      <c r="H669" s="367"/>
      <c r="I669" s="367"/>
      <c r="J669" s="368"/>
    </row>
    <row r="670" spans="1:10" x14ac:dyDescent="0.2">
      <c r="A670" s="366"/>
      <c r="B670" s="367"/>
      <c r="C670" s="367"/>
      <c r="D670" s="367"/>
      <c r="E670" s="367"/>
      <c r="F670" s="367"/>
      <c r="G670" s="367"/>
      <c r="H670" s="367"/>
      <c r="I670" s="367"/>
      <c r="J670" s="368"/>
    </row>
    <row r="671" spans="1:10" x14ac:dyDescent="0.2">
      <c r="A671" s="366"/>
      <c r="B671" s="367"/>
      <c r="C671" s="367"/>
      <c r="D671" s="367"/>
      <c r="E671" s="367"/>
      <c r="F671" s="367"/>
      <c r="G671" s="367"/>
      <c r="H671" s="367"/>
      <c r="I671" s="367"/>
      <c r="J671" s="368"/>
    </row>
    <row r="672" spans="1:10" x14ac:dyDescent="0.2">
      <c r="A672" s="366"/>
      <c r="B672" s="367"/>
      <c r="C672" s="367"/>
      <c r="D672" s="367"/>
      <c r="E672" s="367"/>
      <c r="F672" s="367"/>
      <c r="G672" s="367"/>
      <c r="H672" s="367"/>
      <c r="I672" s="367"/>
      <c r="J672" s="368"/>
    </row>
    <row r="673" spans="1:10" x14ac:dyDescent="0.2">
      <c r="A673" s="366"/>
      <c r="B673" s="367"/>
      <c r="C673" s="367"/>
      <c r="D673" s="367"/>
      <c r="E673" s="367"/>
      <c r="F673" s="367"/>
      <c r="G673" s="367"/>
      <c r="H673" s="367"/>
      <c r="I673" s="367"/>
      <c r="J673" s="368"/>
    </row>
    <row r="674" spans="1:10" x14ac:dyDescent="0.2">
      <c r="A674" s="366"/>
      <c r="B674" s="367"/>
      <c r="C674" s="367"/>
      <c r="D674" s="367"/>
      <c r="E674" s="367"/>
      <c r="F674" s="367"/>
      <c r="G674" s="367"/>
      <c r="H674" s="367"/>
      <c r="I674" s="367"/>
      <c r="J674" s="368"/>
    </row>
    <row r="675" spans="1:10" x14ac:dyDescent="0.2">
      <c r="A675" s="366"/>
      <c r="B675" s="367"/>
      <c r="C675" s="367"/>
      <c r="D675" s="367"/>
      <c r="E675" s="367"/>
      <c r="F675" s="367"/>
      <c r="G675" s="367"/>
      <c r="H675" s="367"/>
      <c r="I675" s="367"/>
      <c r="J675" s="368"/>
    </row>
    <row r="676" spans="1:10" x14ac:dyDescent="0.2">
      <c r="A676" s="366"/>
      <c r="B676" s="367"/>
      <c r="C676" s="367"/>
      <c r="D676" s="367"/>
      <c r="E676" s="367"/>
      <c r="F676" s="367"/>
      <c r="G676" s="367"/>
      <c r="H676" s="367"/>
      <c r="I676" s="367"/>
      <c r="J676" s="368"/>
    </row>
    <row r="677" spans="1:10" x14ac:dyDescent="0.2">
      <c r="A677" s="366"/>
      <c r="B677" s="367"/>
      <c r="C677" s="367"/>
      <c r="D677" s="367"/>
      <c r="E677" s="367"/>
      <c r="F677" s="367"/>
      <c r="G677" s="367"/>
      <c r="H677" s="367"/>
      <c r="I677" s="367"/>
      <c r="J677" s="368"/>
    </row>
    <row r="678" spans="1:10" x14ac:dyDescent="0.2">
      <c r="A678" s="366"/>
      <c r="B678" s="367"/>
      <c r="C678" s="367"/>
      <c r="D678" s="367"/>
      <c r="E678" s="367"/>
      <c r="F678" s="367"/>
      <c r="G678" s="367"/>
      <c r="H678" s="367"/>
      <c r="I678" s="367"/>
      <c r="J678" s="368"/>
    </row>
    <row r="679" spans="1:10" x14ac:dyDescent="0.2">
      <c r="A679" s="366"/>
      <c r="B679" s="367"/>
      <c r="C679" s="367"/>
      <c r="D679" s="367"/>
      <c r="E679" s="367"/>
      <c r="F679" s="367"/>
      <c r="G679" s="367"/>
      <c r="H679" s="367"/>
      <c r="I679" s="367"/>
      <c r="J679" s="368"/>
    </row>
    <row r="680" spans="1:10" x14ac:dyDescent="0.2">
      <c r="A680" s="366"/>
      <c r="B680" s="367"/>
      <c r="C680" s="367"/>
      <c r="D680" s="367"/>
      <c r="E680" s="367"/>
      <c r="F680" s="367"/>
      <c r="G680" s="367"/>
      <c r="H680" s="367"/>
      <c r="I680" s="367"/>
      <c r="J680" s="368"/>
    </row>
    <row r="681" spans="1:10" x14ac:dyDescent="0.2">
      <c r="A681" s="366"/>
      <c r="B681" s="367"/>
      <c r="C681" s="367"/>
      <c r="D681" s="367"/>
      <c r="E681" s="367"/>
      <c r="F681" s="367"/>
      <c r="G681" s="367"/>
      <c r="H681" s="367"/>
      <c r="I681" s="367"/>
      <c r="J681" s="368"/>
    </row>
    <row r="682" spans="1:10" x14ac:dyDescent="0.2">
      <c r="A682" s="366"/>
      <c r="B682" s="367"/>
      <c r="C682" s="367"/>
      <c r="D682" s="367"/>
      <c r="E682" s="367"/>
      <c r="F682" s="367"/>
      <c r="G682" s="367"/>
      <c r="H682" s="367"/>
      <c r="I682" s="367"/>
      <c r="J682" s="368"/>
    </row>
    <row r="683" spans="1:10" x14ac:dyDescent="0.2">
      <c r="A683" s="366"/>
      <c r="B683" s="367"/>
      <c r="C683" s="367"/>
      <c r="D683" s="367"/>
      <c r="E683" s="367"/>
      <c r="F683" s="367"/>
      <c r="G683" s="367"/>
      <c r="H683" s="367"/>
      <c r="I683" s="367"/>
      <c r="J683" s="368"/>
    </row>
    <row r="684" spans="1:10" x14ac:dyDescent="0.2">
      <c r="A684" s="366"/>
      <c r="B684" s="367"/>
      <c r="C684" s="367"/>
      <c r="D684" s="367"/>
      <c r="E684" s="367"/>
      <c r="F684" s="367"/>
      <c r="G684" s="367"/>
      <c r="H684" s="367"/>
      <c r="I684" s="367"/>
      <c r="J684" s="368"/>
    </row>
    <row r="685" spans="1:10" x14ac:dyDescent="0.2">
      <c r="A685" s="366"/>
      <c r="B685" s="367"/>
      <c r="C685" s="367"/>
      <c r="D685" s="367"/>
      <c r="E685" s="367"/>
      <c r="F685" s="367"/>
      <c r="G685" s="367"/>
      <c r="H685" s="367"/>
      <c r="I685" s="367"/>
      <c r="J685" s="368"/>
    </row>
    <row r="686" spans="1:10" x14ac:dyDescent="0.2">
      <c r="A686" s="366"/>
      <c r="B686" s="367"/>
      <c r="C686" s="367"/>
      <c r="D686" s="367"/>
      <c r="E686" s="367"/>
      <c r="F686" s="367"/>
      <c r="G686" s="367"/>
      <c r="H686" s="367"/>
      <c r="I686" s="367"/>
      <c r="J686" s="368"/>
    </row>
    <row r="687" spans="1:10" x14ac:dyDescent="0.2">
      <c r="A687" s="366"/>
      <c r="B687" s="367"/>
      <c r="C687" s="367"/>
      <c r="D687" s="367"/>
      <c r="E687" s="367"/>
      <c r="F687" s="367"/>
      <c r="G687" s="367"/>
      <c r="H687" s="367"/>
      <c r="I687" s="367"/>
      <c r="J687" s="368"/>
    </row>
    <row r="688" spans="1:10" x14ac:dyDescent="0.2">
      <c r="A688" s="366"/>
      <c r="B688" s="367"/>
      <c r="C688" s="367"/>
      <c r="D688" s="367"/>
      <c r="E688" s="367"/>
      <c r="F688" s="367"/>
      <c r="G688" s="367"/>
      <c r="H688" s="367"/>
      <c r="I688" s="367"/>
      <c r="J688" s="368"/>
    </row>
    <row r="689" spans="1:10" x14ac:dyDescent="0.2">
      <c r="A689" s="366"/>
      <c r="B689" s="367"/>
      <c r="C689" s="367"/>
      <c r="D689" s="367"/>
      <c r="E689" s="367"/>
      <c r="F689" s="367"/>
      <c r="G689" s="367"/>
      <c r="H689" s="367"/>
      <c r="I689" s="367"/>
      <c r="J689" s="368"/>
    </row>
    <row r="690" spans="1:10" x14ac:dyDescent="0.2">
      <c r="A690" s="366"/>
      <c r="B690" s="367"/>
      <c r="C690" s="367"/>
      <c r="D690" s="367"/>
      <c r="E690" s="367"/>
      <c r="F690" s="367"/>
      <c r="G690" s="367"/>
      <c r="H690" s="367"/>
      <c r="I690" s="367"/>
      <c r="J690" s="368"/>
    </row>
    <row r="691" spans="1:10" x14ac:dyDescent="0.2">
      <c r="A691" s="366"/>
      <c r="B691" s="367"/>
      <c r="C691" s="367"/>
      <c r="D691" s="367"/>
      <c r="E691" s="367"/>
      <c r="F691" s="367"/>
      <c r="G691" s="367"/>
      <c r="H691" s="367"/>
      <c r="I691" s="367"/>
      <c r="J691" s="368"/>
    </row>
    <row r="692" spans="1:10" x14ac:dyDescent="0.2">
      <c r="A692" s="369"/>
      <c r="B692" s="370"/>
      <c r="C692" s="370"/>
      <c r="D692" s="370"/>
      <c r="E692" s="370"/>
      <c r="F692" s="370"/>
      <c r="G692" s="370"/>
      <c r="H692" s="370"/>
      <c r="I692" s="370"/>
      <c r="J692" s="371"/>
    </row>
    <row r="694" spans="1:10" ht="15.75" x14ac:dyDescent="0.25">
      <c r="A694" s="280" t="s">
        <v>847</v>
      </c>
      <c r="B694" s="281"/>
      <c r="C694" s="281"/>
      <c r="D694" s="281"/>
      <c r="E694" s="281"/>
      <c r="F694" s="281"/>
      <c r="G694" s="281"/>
      <c r="H694" s="278" t="str">
        <f>'CONTACT INFORMATION'!$A$24</f>
        <v>Los Angeles</v>
      </c>
      <c r="I694" s="278"/>
      <c r="J694" s="279"/>
    </row>
    <row r="695" spans="1:10" ht="8.1" customHeight="1" x14ac:dyDescent="0.2">
      <c r="A695" s="124"/>
      <c r="B695" s="124"/>
      <c r="C695" s="124"/>
      <c r="D695" s="124"/>
      <c r="E695" s="124"/>
      <c r="F695" s="124"/>
      <c r="G695" s="124"/>
      <c r="H695" s="124"/>
      <c r="I695" s="124"/>
      <c r="J695" s="124"/>
    </row>
    <row r="696" spans="1:10" ht="15" x14ac:dyDescent="0.25">
      <c r="A696" s="387" t="s">
        <v>864</v>
      </c>
      <c r="B696" s="388"/>
      <c r="C696" s="388"/>
      <c r="D696" s="388"/>
      <c r="E696" s="388"/>
      <c r="F696" s="388"/>
      <c r="G696" s="388"/>
      <c r="H696" s="388"/>
      <c r="I696" s="388"/>
      <c r="J696" s="389"/>
    </row>
    <row r="697" spans="1:10" x14ac:dyDescent="0.2">
      <c r="A697" s="390" t="s">
        <v>853</v>
      </c>
      <c r="B697" s="391"/>
      <c r="C697" s="391"/>
      <c r="D697" s="392"/>
      <c r="E697" s="393" t="s">
        <v>962</v>
      </c>
      <c r="F697" s="394"/>
      <c r="G697" s="394"/>
      <c r="H697" s="394"/>
      <c r="I697" s="394"/>
      <c r="J697" s="395"/>
    </row>
    <row r="698" spans="1:10" x14ac:dyDescent="0.2">
      <c r="A698" s="399" t="s">
        <v>852</v>
      </c>
      <c r="B698" s="400"/>
      <c r="C698" s="400"/>
      <c r="D698" s="401"/>
      <c r="E698" s="396"/>
      <c r="F698" s="397"/>
      <c r="G698" s="397"/>
      <c r="H698" s="397"/>
      <c r="I698" s="397"/>
      <c r="J698" s="398"/>
    </row>
    <row r="699" spans="1:10" x14ac:dyDescent="0.2">
      <c r="A699" s="402" t="s">
        <v>808</v>
      </c>
      <c r="B699" s="403"/>
      <c r="C699" s="403"/>
      <c r="D699" s="404"/>
      <c r="E699" s="405"/>
      <c r="F699" s="406"/>
      <c r="G699" s="406"/>
      <c r="H699" s="406"/>
      <c r="I699" s="406"/>
      <c r="J699" s="407"/>
    </row>
    <row r="700" spans="1:10" ht="27" customHeight="1" x14ac:dyDescent="0.2">
      <c r="A700" s="118"/>
      <c r="B700" s="158"/>
      <c r="C700" s="158"/>
      <c r="D700" s="158"/>
      <c r="E700" s="378" t="s">
        <v>535</v>
      </c>
      <c r="F700" s="379"/>
      <c r="G700" s="378" t="s">
        <v>533</v>
      </c>
      <c r="H700" s="379"/>
      <c r="I700" s="380" t="s">
        <v>848</v>
      </c>
      <c r="J700" s="381"/>
    </row>
    <row r="701" spans="1:10" x14ac:dyDescent="0.2">
      <c r="A701" s="382" t="s">
        <v>527</v>
      </c>
      <c r="B701" s="383"/>
      <c r="C701" s="383"/>
      <c r="D701" s="384"/>
      <c r="E701" s="385"/>
      <c r="F701" s="385"/>
      <c r="G701" s="385"/>
      <c r="H701" s="385"/>
      <c r="I701" s="386"/>
      <c r="J701" s="386"/>
    </row>
    <row r="702" spans="1:10" x14ac:dyDescent="0.2">
      <c r="A702" s="372" t="s">
        <v>528</v>
      </c>
      <c r="B702" s="373"/>
      <c r="C702" s="373"/>
      <c r="D702" s="374"/>
      <c r="E702" s="375"/>
      <c r="F702" s="375"/>
      <c r="G702" s="376"/>
      <c r="H702" s="376"/>
      <c r="I702" s="377"/>
      <c r="J702" s="377"/>
    </row>
    <row r="703" spans="1:10" x14ac:dyDescent="0.2">
      <c r="A703" s="382" t="s">
        <v>529</v>
      </c>
      <c r="B703" s="383"/>
      <c r="C703" s="383"/>
      <c r="D703" s="384"/>
      <c r="E703" s="385">
        <v>418</v>
      </c>
      <c r="F703" s="385"/>
      <c r="G703" s="385"/>
      <c r="H703" s="385"/>
      <c r="I703" s="386"/>
      <c r="J703" s="386"/>
    </row>
    <row r="704" spans="1:10" x14ac:dyDescent="0.2">
      <c r="A704" s="372" t="s">
        <v>530</v>
      </c>
      <c r="B704" s="373"/>
      <c r="C704" s="373"/>
      <c r="D704" s="374"/>
      <c r="E704" s="375">
        <v>25739</v>
      </c>
      <c r="F704" s="375"/>
      <c r="G704" s="376"/>
      <c r="H704" s="376"/>
      <c r="I704" s="377"/>
      <c r="J704" s="377"/>
    </row>
    <row r="705" spans="1:10" x14ac:dyDescent="0.2">
      <c r="A705" s="382" t="s">
        <v>531</v>
      </c>
      <c r="B705" s="383"/>
      <c r="C705" s="383"/>
      <c r="D705" s="384"/>
      <c r="E705" s="385"/>
      <c r="F705" s="385"/>
      <c r="G705" s="385"/>
      <c r="H705" s="385"/>
      <c r="I705" s="386"/>
      <c r="J705" s="386"/>
    </row>
    <row r="706" spans="1:10" x14ac:dyDescent="0.2">
      <c r="A706" s="372" t="s">
        <v>532</v>
      </c>
      <c r="B706" s="373"/>
      <c r="C706" s="373"/>
      <c r="D706" s="374"/>
      <c r="E706" s="375">
        <v>120</v>
      </c>
      <c r="F706" s="375"/>
      <c r="G706" s="376"/>
      <c r="H706" s="376"/>
      <c r="I706" s="377"/>
      <c r="J706" s="377"/>
    </row>
    <row r="707" spans="1:10" x14ac:dyDescent="0.2">
      <c r="A707" s="382" t="s">
        <v>537</v>
      </c>
      <c r="B707" s="383"/>
      <c r="C707" s="383"/>
      <c r="D707" s="384"/>
      <c r="E707" s="418"/>
      <c r="F707" s="418"/>
      <c r="G707" s="418"/>
      <c r="H707" s="418"/>
      <c r="I707" s="419"/>
      <c r="J707" s="419"/>
    </row>
    <row r="708" spans="1:10" x14ac:dyDescent="0.2">
      <c r="A708" s="408" t="s">
        <v>963</v>
      </c>
      <c r="B708" s="409"/>
      <c r="C708" s="409"/>
      <c r="D708" s="410"/>
      <c r="E708" s="375">
        <v>309</v>
      </c>
      <c r="F708" s="375"/>
      <c r="G708" s="376"/>
      <c r="H708" s="376"/>
      <c r="I708" s="376"/>
      <c r="J708" s="376"/>
    </row>
    <row r="709" spans="1:10" x14ac:dyDescent="0.2">
      <c r="A709" s="408" t="s">
        <v>964</v>
      </c>
      <c r="B709" s="409"/>
      <c r="C709" s="409"/>
      <c r="D709" s="410"/>
      <c r="E709" s="375">
        <v>199</v>
      </c>
      <c r="F709" s="375"/>
      <c r="G709" s="376"/>
      <c r="H709" s="376"/>
      <c r="I709" s="376"/>
      <c r="J709" s="376"/>
    </row>
    <row r="710" spans="1:10" x14ac:dyDescent="0.2">
      <c r="A710" s="408"/>
      <c r="B710" s="409"/>
      <c r="C710" s="409"/>
      <c r="D710" s="410"/>
      <c r="E710" s="375"/>
      <c r="F710" s="375"/>
      <c r="G710" s="376"/>
      <c r="H710" s="376"/>
      <c r="I710" s="376"/>
      <c r="J710" s="376"/>
    </row>
    <row r="711" spans="1:10" x14ac:dyDescent="0.2">
      <c r="A711" s="411" t="s">
        <v>534</v>
      </c>
      <c r="B711" s="412"/>
      <c r="C711" s="412"/>
      <c r="D711" s="413"/>
      <c r="E711" s="414">
        <f>SUM(E701:E710)</f>
        <v>26785</v>
      </c>
      <c r="F711" s="414"/>
      <c r="G711" s="414">
        <f>SUM(G701:G710)</f>
        <v>0</v>
      </c>
      <c r="H711" s="414"/>
      <c r="I711" s="414">
        <f>SUM(I701:I710)</f>
        <v>0</v>
      </c>
      <c r="J711" s="414"/>
    </row>
    <row r="712" spans="1:10" x14ac:dyDescent="0.2">
      <c r="A712" s="415" t="s">
        <v>860</v>
      </c>
      <c r="B712" s="416"/>
      <c r="C712" s="416"/>
      <c r="D712" s="416"/>
      <c r="E712" s="416"/>
      <c r="F712" s="416"/>
      <c r="G712" s="416"/>
      <c r="H712" s="416"/>
      <c r="I712" s="416"/>
      <c r="J712" s="417"/>
    </row>
    <row r="713" spans="1:10" x14ac:dyDescent="0.2">
      <c r="A713" s="358" t="s">
        <v>861</v>
      </c>
      <c r="B713" s="359"/>
      <c r="C713" s="359"/>
      <c r="D713" s="359"/>
      <c r="E713" s="359"/>
      <c r="F713" s="359"/>
      <c r="G713" s="359"/>
      <c r="H713" s="359"/>
      <c r="I713" s="359"/>
      <c r="J713" s="360"/>
    </row>
    <row r="714" spans="1:10" x14ac:dyDescent="0.2">
      <c r="A714" s="358" t="s">
        <v>862</v>
      </c>
      <c r="B714" s="359"/>
      <c r="C714" s="359"/>
      <c r="D714" s="359"/>
      <c r="E714" s="359"/>
      <c r="F714" s="359"/>
      <c r="G714" s="359"/>
      <c r="H714" s="359"/>
      <c r="I714" s="359"/>
      <c r="J714" s="360"/>
    </row>
    <row r="715" spans="1:10" x14ac:dyDescent="0.2">
      <c r="A715" s="361" t="s">
        <v>863</v>
      </c>
      <c r="B715" s="362"/>
      <c r="C715" s="362"/>
      <c r="D715" s="362"/>
      <c r="E715" s="362"/>
      <c r="F715" s="362"/>
      <c r="G715" s="362"/>
      <c r="H715" s="362"/>
      <c r="I715" s="362"/>
      <c r="J715" s="363"/>
    </row>
    <row r="716" spans="1:10" x14ac:dyDescent="0.2">
      <c r="A716" s="233" t="s">
        <v>995</v>
      </c>
      <c r="B716" s="364"/>
      <c r="C716" s="364"/>
      <c r="D716" s="364"/>
      <c r="E716" s="364"/>
      <c r="F716" s="364"/>
      <c r="G716" s="364"/>
      <c r="H716" s="364"/>
      <c r="I716" s="364"/>
      <c r="J716" s="365"/>
    </row>
    <row r="717" spans="1:10" x14ac:dyDescent="0.2">
      <c r="A717" s="366"/>
      <c r="B717" s="367"/>
      <c r="C717" s="367"/>
      <c r="D717" s="367"/>
      <c r="E717" s="367"/>
      <c r="F717" s="367"/>
      <c r="G717" s="367"/>
      <c r="H717" s="367"/>
      <c r="I717" s="367"/>
      <c r="J717" s="368"/>
    </row>
    <row r="718" spans="1:10" x14ac:dyDescent="0.2">
      <c r="A718" s="366"/>
      <c r="B718" s="367"/>
      <c r="C718" s="367"/>
      <c r="D718" s="367"/>
      <c r="E718" s="367"/>
      <c r="F718" s="367"/>
      <c r="G718" s="367"/>
      <c r="H718" s="367"/>
      <c r="I718" s="367"/>
      <c r="J718" s="368"/>
    </row>
    <row r="719" spans="1:10" x14ac:dyDescent="0.2">
      <c r="A719" s="366"/>
      <c r="B719" s="367"/>
      <c r="C719" s="367"/>
      <c r="D719" s="367"/>
      <c r="E719" s="367"/>
      <c r="F719" s="367"/>
      <c r="G719" s="367"/>
      <c r="H719" s="367"/>
      <c r="I719" s="367"/>
      <c r="J719" s="368"/>
    </row>
    <row r="720" spans="1:10" x14ac:dyDescent="0.2">
      <c r="A720" s="366"/>
      <c r="B720" s="367"/>
      <c r="C720" s="367"/>
      <c r="D720" s="367"/>
      <c r="E720" s="367"/>
      <c r="F720" s="367"/>
      <c r="G720" s="367"/>
      <c r="H720" s="367"/>
      <c r="I720" s="367"/>
      <c r="J720" s="368"/>
    </row>
    <row r="721" spans="1:10" x14ac:dyDescent="0.2">
      <c r="A721" s="366"/>
      <c r="B721" s="367"/>
      <c r="C721" s="367"/>
      <c r="D721" s="367"/>
      <c r="E721" s="367"/>
      <c r="F721" s="367"/>
      <c r="G721" s="367"/>
      <c r="H721" s="367"/>
      <c r="I721" s="367"/>
      <c r="J721" s="368"/>
    </row>
    <row r="722" spans="1:10" x14ac:dyDescent="0.2">
      <c r="A722" s="366"/>
      <c r="B722" s="367"/>
      <c r="C722" s="367"/>
      <c r="D722" s="367"/>
      <c r="E722" s="367"/>
      <c r="F722" s="367"/>
      <c r="G722" s="367"/>
      <c r="H722" s="367"/>
      <c r="I722" s="367"/>
      <c r="J722" s="368"/>
    </row>
    <row r="723" spans="1:10" x14ac:dyDescent="0.2">
      <c r="A723" s="366"/>
      <c r="B723" s="367"/>
      <c r="C723" s="367"/>
      <c r="D723" s="367"/>
      <c r="E723" s="367"/>
      <c r="F723" s="367"/>
      <c r="G723" s="367"/>
      <c r="H723" s="367"/>
      <c r="I723" s="367"/>
      <c r="J723" s="368"/>
    </row>
    <row r="724" spans="1:10" x14ac:dyDescent="0.2">
      <c r="A724" s="366"/>
      <c r="B724" s="367"/>
      <c r="C724" s="367"/>
      <c r="D724" s="367"/>
      <c r="E724" s="367"/>
      <c r="F724" s="367"/>
      <c r="G724" s="367"/>
      <c r="H724" s="367"/>
      <c r="I724" s="367"/>
      <c r="J724" s="368"/>
    </row>
    <row r="725" spans="1:10" x14ac:dyDescent="0.2">
      <c r="A725" s="366"/>
      <c r="B725" s="367"/>
      <c r="C725" s="367"/>
      <c r="D725" s="367"/>
      <c r="E725" s="367"/>
      <c r="F725" s="367"/>
      <c r="G725" s="367"/>
      <c r="H725" s="367"/>
      <c r="I725" s="367"/>
      <c r="J725" s="368"/>
    </row>
    <row r="726" spans="1:10" x14ac:dyDescent="0.2">
      <c r="A726" s="366"/>
      <c r="B726" s="367"/>
      <c r="C726" s="367"/>
      <c r="D726" s="367"/>
      <c r="E726" s="367"/>
      <c r="F726" s="367"/>
      <c r="G726" s="367"/>
      <c r="H726" s="367"/>
      <c r="I726" s="367"/>
      <c r="J726" s="368"/>
    </row>
    <row r="727" spans="1:10" x14ac:dyDescent="0.2">
      <c r="A727" s="366"/>
      <c r="B727" s="367"/>
      <c r="C727" s="367"/>
      <c r="D727" s="367"/>
      <c r="E727" s="367"/>
      <c r="F727" s="367"/>
      <c r="G727" s="367"/>
      <c r="H727" s="367"/>
      <c r="I727" s="367"/>
      <c r="J727" s="368"/>
    </row>
    <row r="728" spans="1:10" x14ac:dyDescent="0.2">
      <c r="A728" s="366"/>
      <c r="B728" s="367"/>
      <c r="C728" s="367"/>
      <c r="D728" s="367"/>
      <c r="E728" s="367"/>
      <c r="F728" s="367"/>
      <c r="G728" s="367"/>
      <c r="H728" s="367"/>
      <c r="I728" s="367"/>
      <c r="J728" s="368"/>
    </row>
    <row r="729" spans="1:10" x14ac:dyDescent="0.2">
      <c r="A729" s="366"/>
      <c r="B729" s="367"/>
      <c r="C729" s="367"/>
      <c r="D729" s="367"/>
      <c r="E729" s="367"/>
      <c r="F729" s="367"/>
      <c r="G729" s="367"/>
      <c r="H729" s="367"/>
      <c r="I729" s="367"/>
      <c r="J729" s="368"/>
    </row>
    <row r="730" spans="1:10" x14ac:dyDescent="0.2">
      <c r="A730" s="366"/>
      <c r="B730" s="367"/>
      <c r="C730" s="367"/>
      <c r="D730" s="367"/>
      <c r="E730" s="367"/>
      <c r="F730" s="367"/>
      <c r="G730" s="367"/>
      <c r="H730" s="367"/>
      <c r="I730" s="367"/>
      <c r="J730" s="368"/>
    </row>
    <row r="731" spans="1:10" x14ac:dyDescent="0.2">
      <c r="A731" s="366"/>
      <c r="B731" s="367"/>
      <c r="C731" s="367"/>
      <c r="D731" s="367"/>
      <c r="E731" s="367"/>
      <c r="F731" s="367"/>
      <c r="G731" s="367"/>
      <c r="H731" s="367"/>
      <c r="I731" s="367"/>
      <c r="J731" s="368"/>
    </row>
    <row r="732" spans="1:10" x14ac:dyDescent="0.2">
      <c r="A732" s="366"/>
      <c r="B732" s="367"/>
      <c r="C732" s="367"/>
      <c r="D732" s="367"/>
      <c r="E732" s="367"/>
      <c r="F732" s="367"/>
      <c r="G732" s="367"/>
      <c r="H732" s="367"/>
      <c r="I732" s="367"/>
      <c r="J732" s="368"/>
    </row>
    <row r="733" spans="1:10" x14ac:dyDescent="0.2">
      <c r="A733" s="366"/>
      <c r="B733" s="367"/>
      <c r="C733" s="367"/>
      <c r="D733" s="367"/>
      <c r="E733" s="367"/>
      <c r="F733" s="367"/>
      <c r="G733" s="367"/>
      <c r="H733" s="367"/>
      <c r="I733" s="367"/>
      <c r="J733" s="368"/>
    </row>
    <row r="734" spans="1:10" x14ac:dyDescent="0.2">
      <c r="A734" s="366"/>
      <c r="B734" s="367"/>
      <c r="C734" s="367"/>
      <c r="D734" s="367"/>
      <c r="E734" s="367"/>
      <c r="F734" s="367"/>
      <c r="G734" s="367"/>
      <c r="H734" s="367"/>
      <c r="I734" s="367"/>
      <c r="J734" s="368"/>
    </row>
    <row r="735" spans="1:10" x14ac:dyDescent="0.2">
      <c r="A735" s="366"/>
      <c r="B735" s="367"/>
      <c r="C735" s="367"/>
      <c r="D735" s="367"/>
      <c r="E735" s="367"/>
      <c r="F735" s="367"/>
      <c r="G735" s="367"/>
      <c r="H735" s="367"/>
      <c r="I735" s="367"/>
      <c r="J735" s="368"/>
    </row>
    <row r="736" spans="1:10" x14ac:dyDescent="0.2">
      <c r="A736" s="366"/>
      <c r="B736" s="367"/>
      <c r="C736" s="367"/>
      <c r="D736" s="367"/>
      <c r="E736" s="367"/>
      <c r="F736" s="367"/>
      <c r="G736" s="367"/>
      <c r="H736" s="367"/>
      <c r="I736" s="367"/>
      <c r="J736" s="368"/>
    </row>
    <row r="737" spans="1:10" x14ac:dyDescent="0.2">
      <c r="A737" s="366"/>
      <c r="B737" s="367"/>
      <c r="C737" s="367"/>
      <c r="D737" s="367"/>
      <c r="E737" s="367"/>
      <c r="F737" s="367"/>
      <c r="G737" s="367"/>
      <c r="H737" s="367"/>
      <c r="I737" s="367"/>
      <c r="J737" s="368"/>
    </row>
    <row r="738" spans="1:10" x14ac:dyDescent="0.2">
      <c r="A738" s="366"/>
      <c r="B738" s="367"/>
      <c r="C738" s="367"/>
      <c r="D738" s="367"/>
      <c r="E738" s="367"/>
      <c r="F738" s="367"/>
      <c r="G738" s="367"/>
      <c r="H738" s="367"/>
      <c r="I738" s="367"/>
      <c r="J738" s="368"/>
    </row>
    <row r="739" spans="1:10" x14ac:dyDescent="0.2">
      <c r="A739" s="366"/>
      <c r="B739" s="367"/>
      <c r="C739" s="367"/>
      <c r="D739" s="367"/>
      <c r="E739" s="367"/>
      <c r="F739" s="367"/>
      <c r="G739" s="367"/>
      <c r="H739" s="367"/>
      <c r="I739" s="367"/>
      <c r="J739" s="368"/>
    </row>
    <row r="740" spans="1:10" x14ac:dyDescent="0.2">
      <c r="A740" s="366"/>
      <c r="B740" s="367"/>
      <c r="C740" s="367"/>
      <c r="D740" s="367"/>
      <c r="E740" s="367"/>
      <c r="F740" s="367"/>
      <c r="G740" s="367"/>
      <c r="H740" s="367"/>
      <c r="I740" s="367"/>
      <c r="J740" s="368"/>
    </row>
    <row r="741" spans="1:10" x14ac:dyDescent="0.2">
      <c r="A741" s="366"/>
      <c r="B741" s="367"/>
      <c r="C741" s="367"/>
      <c r="D741" s="367"/>
      <c r="E741" s="367"/>
      <c r="F741" s="367"/>
      <c r="G741" s="367"/>
      <c r="H741" s="367"/>
      <c r="I741" s="367"/>
      <c r="J741" s="368"/>
    </row>
    <row r="742" spans="1:10" x14ac:dyDescent="0.2">
      <c r="A742" s="366"/>
      <c r="B742" s="367"/>
      <c r="C742" s="367"/>
      <c r="D742" s="367"/>
      <c r="E742" s="367"/>
      <c r="F742" s="367"/>
      <c r="G742" s="367"/>
      <c r="H742" s="367"/>
      <c r="I742" s="367"/>
      <c r="J742" s="368"/>
    </row>
    <row r="743" spans="1:10" x14ac:dyDescent="0.2">
      <c r="A743" s="366"/>
      <c r="B743" s="367"/>
      <c r="C743" s="367"/>
      <c r="D743" s="367"/>
      <c r="E743" s="367"/>
      <c r="F743" s="367"/>
      <c r="G743" s="367"/>
      <c r="H743" s="367"/>
      <c r="I743" s="367"/>
      <c r="J743" s="368"/>
    </row>
    <row r="744" spans="1:10" x14ac:dyDescent="0.2">
      <c r="A744" s="366"/>
      <c r="B744" s="367"/>
      <c r="C744" s="367"/>
      <c r="D744" s="367"/>
      <c r="E744" s="367"/>
      <c r="F744" s="367"/>
      <c r="G744" s="367"/>
      <c r="H744" s="367"/>
      <c r="I744" s="367"/>
      <c r="J744" s="368"/>
    </row>
    <row r="745" spans="1:10" x14ac:dyDescent="0.2">
      <c r="A745" s="366"/>
      <c r="B745" s="367"/>
      <c r="C745" s="367"/>
      <c r="D745" s="367"/>
      <c r="E745" s="367"/>
      <c r="F745" s="367"/>
      <c r="G745" s="367"/>
      <c r="H745" s="367"/>
      <c r="I745" s="367"/>
      <c r="J745" s="368"/>
    </row>
    <row r="746" spans="1:10" x14ac:dyDescent="0.2">
      <c r="A746" s="366"/>
      <c r="B746" s="367"/>
      <c r="C746" s="367"/>
      <c r="D746" s="367"/>
      <c r="E746" s="367"/>
      <c r="F746" s="367"/>
      <c r="G746" s="367"/>
      <c r="H746" s="367"/>
      <c r="I746" s="367"/>
      <c r="J746" s="368"/>
    </row>
    <row r="747" spans="1:10" x14ac:dyDescent="0.2">
      <c r="A747" s="366"/>
      <c r="B747" s="367"/>
      <c r="C747" s="367"/>
      <c r="D747" s="367"/>
      <c r="E747" s="367"/>
      <c r="F747" s="367"/>
      <c r="G747" s="367"/>
      <c r="H747" s="367"/>
      <c r="I747" s="367"/>
      <c r="J747" s="368"/>
    </row>
    <row r="748" spans="1:10" x14ac:dyDescent="0.2">
      <c r="A748" s="366"/>
      <c r="B748" s="367"/>
      <c r="C748" s="367"/>
      <c r="D748" s="367"/>
      <c r="E748" s="367"/>
      <c r="F748" s="367"/>
      <c r="G748" s="367"/>
      <c r="H748" s="367"/>
      <c r="I748" s="367"/>
      <c r="J748" s="368"/>
    </row>
    <row r="749" spans="1:10" x14ac:dyDescent="0.2">
      <c r="A749" s="366"/>
      <c r="B749" s="367"/>
      <c r="C749" s="367"/>
      <c r="D749" s="367"/>
      <c r="E749" s="367"/>
      <c r="F749" s="367"/>
      <c r="G749" s="367"/>
      <c r="H749" s="367"/>
      <c r="I749" s="367"/>
      <c r="J749" s="368"/>
    </row>
    <row r="750" spans="1:10" x14ac:dyDescent="0.2">
      <c r="A750" s="369"/>
      <c r="B750" s="370"/>
      <c r="C750" s="370"/>
      <c r="D750" s="370"/>
      <c r="E750" s="370"/>
      <c r="F750" s="370"/>
      <c r="G750" s="370"/>
      <c r="H750" s="370"/>
      <c r="I750" s="370"/>
      <c r="J750" s="371"/>
    </row>
    <row r="752" spans="1:10" ht="15.75" x14ac:dyDescent="0.25">
      <c r="A752" s="280" t="s">
        <v>847</v>
      </c>
      <c r="B752" s="281"/>
      <c r="C752" s="281"/>
      <c r="D752" s="281"/>
      <c r="E752" s="281"/>
      <c r="F752" s="281"/>
      <c r="G752" s="281"/>
      <c r="H752" s="278" t="str">
        <f>'CONTACT INFORMATION'!$A$24</f>
        <v>Los Angeles</v>
      </c>
      <c r="I752" s="278"/>
      <c r="J752" s="279"/>
    </row>
    <row r="753" spans="1:10" ht="8.1" customHeight="1" x14ac:dyDescent="0.2">
      <c r="A753" s="124"/>
      <c r="B753" s="124"/>
      <c r="C753" s="124"/>
      <c r="D753" s="124"/>
      <c r="E753" s="124"/>
      <c r="F753" s="124"/>
      <c r="G753" s="124"/>
      <c r="H753" s="124"/>
      <c r="I753" s="124"/>
      <c r="J753" s="124"/>
    </row>
    <row r="754" spans="1:10" ht="15" x14ac:dyDescent="0.25">
      <c r="A754" s="387" t="s">
        <v>865</v>
      </c>
      <c r="B754" s="388"/>
      <c r="C754" s="388"/>
      <c r="D754" s="388"/>
      <c r="E754" s="388"/>
      <c r="F754" s="388"/>
      <c r="G754" s="388"/>
      <c r="H754" s="388"/>
      <c r="I754" s="388"/>
      <c r="J754" s="389"/>
    </row>
    <row r="755" spans="1:10" x14ac:dyDescent="0.2">
      <c r="A755" s="390" t="s">
        <v>853</v>
      </c>
      <c r="B755" s="391"/>
      <c r="C755" s="391"/>
      <c r="D755" s="392"/>
      <c r="E755" s="393" t="s">
        <v>945</v>
      </c>
      <c r="F755" s="394"/>
      <c r="G755" s="394"/>
      <c r="H755" s="394"/>
      <c r="I755" s="394"/>
      <c r="J755" s="395"/>
    </row>
    <row r="756" spans="1:10" x14ac:dyDescent="0.2">
      <c r="A756" s="399" t="s">
        <v>852</v>
      </c>
      <c r="B756" s="400"/>
      <c r="C756" s="400"/>
      <c r="D756" s="401"/>
      <c r="E756" s="396"/>
      <c r="F756" s="397"/>
      <c r="G756" s="397"/>
      <c r="H756" s="397"/>
      <c r="I756" s="397"/>
      <c r="J756" s="398"/>
    </row>
    <row r="757" spans="1:10" x14ac:dyDescent="0.2">
      <c r="A757" s="402" t="s">
        <v>808</v>
      </c>
      <c r="B757" s="403"/>
      <c r="C757" s="403"/>
      <c r="D757" s="404"/>
      <c r="E757" s="405"/>
      <c r="F757" s="406"/>
      <c r="G757" s="406"/>
      <c r="H757" s="406"/>
      <c r="I757" s="406"/>
      <c r="J757" s="407"/>
    </row>
    <row r="758" spans="1:10" ht="27" customHeight="1" x14ac:dyDescent="0.2">
      <c r="A758" s="118"/>
      <c r="B758" s="158"/>
      <c r="C758" s="158"/>
      <c r="D758" s="158"/>
      <c r="E758" s="378" t="s">
        <v>535</v>
      </c>
      <c r="F758" s="379"/>
      <c r="G758" s="378" t="s">
        <v>533</v>
      </c>
      <c r="H758" s="379"/>
      <c r="I758" s="380" t="s">
        <v>848</v>
      </c>
      <c r="J758" s="381"/>
    </row>
    <row r="759" spans="1:10" x14ac:dyDescent="0.2">
      <c r="A759" s="382" t="s">
        <v>527</v>
      </c>
      <c r="B759" s="383"/>
      <c r="C759" s="383"/>
      <c r="D759" s="384"/>
      <c r="E759" s="385"/>
      <c r="F759" s="385"/>
      <c r="G759" s="385"/>
      <c r="H759" s="385"/>
      <c r="I759" s="386"/>
      <c r="J759" s="386"/>
    </row>
    <row r="760" spans="1:10" x14ac:dyDescent="0.2">
      <c r="A760" s="372" t="s">
        <v>528</v>
      </c>
      <c r="B760" s="373"/>
      <c r="C760" s="373"/>
      <c r="D760" s="374"/>
      <c r="E760" s="375">
        <v>906928</v>
      </c>
      <c r="F760" s="375"/>
      <c r="G760" s="376"/>
      <c r="H760" s="376"/>
      <c r="I760" s="377"/>
      <c r="J760" s="377"/>
    </row>
    <row r="761" spans="1:10" x14ac:dyDescent="0.2">
      <c r="A761" s="382" t="s">
        <v>529</v>
      </c>
      <c r="B761" s="383"/>
      <c r="C761" s="383"/>
      <c r="D761" s="384"/>
      <c r="E761" s="385">
        <v>18989</v>
      </c>
      <c r="F761" s="385"/>
      <c r="G761" s="385"/>
      <c r="H761" s="385"/>
      <c r="I761" s="386"/>
      <c r="J761" s="386"/>
    </row>
    <row r="762" spans="1:10" x14ac:dyDescent="0.2">
      <c r="A762" s="372" t="s">
        <v>530</v>
      </c>
      <c r="B762" s="373"/>
      <c r="C762" s="373"/>
      <c r="D762" s="374"/>
      <c r="E762" s="375">
        <v>262228</v>
      </c>
      <c r="F762" s="375"/>
      <c r="G762" s="376"/>
      <c r="H762" s="376"/>
      <c r="I762" s="377"/>
      <c r="J762" s="377"/>
    </row>
    <row r="763" spans="1:10" x14ac:dyDescent="0.2">
      <c r="A763" s="382" t="s">
        <v>531</v>
      </c>
      <c r="B763" s="383"/>
      <c r="C763" s="383"/>
      <c r="D763" s="384"/>
      <c r="E763" s="385"/>
      <c r="F763" s="385"/>
      <c r="G763" s="385"/>
      <c r="H763" s="385"/>
      <c r="I763" s="386"/>
      <c r="J763" s="386"/>
    </row>
    <row r="764" spans="1:10" x14ac:dyDescent="0.2">
      <c r="A764" s="372" t="s">
        <v>532</v>
      </c>
      <c r="B764" s="373"/>
      <c r="C764" s="373"/>
      <c r="D764" s="374"/>
      <c r="E764" s="375">
        <v>5444</v>
      </c>
      <c r="F764" s="375"/>
      <c r="G764" s="376"/>
      <c r="H764" s="376"/>
      <c r="I764" s="377"/>
      <c r="J764" s="377"/>
    </row>
    <row r="765" spans="1:10" x14ac:dyDescent="0.2">
      <c r="A765" s="382" t="s">
        <v>537</v>
      </c>
      <c r="B765" s="383"/>
      <c r="C765" s="383"/>
      <c r="D765" s="384"/>
      <c r="E765" s="418"/>
      <c r="F765" s="418"/>
      <c r="G765" s="418"/>
      <c r="H765" s="418"/>
      <c r="I765" s="419"/>
      <c r="J765" s="419"/>
    </row>
    <row r="766" spans="1:10" x14ac:dyDescent="0.2">
      <c r="A766" s="408" t="s">
        <v>963</v>
      </c>
      <c r="B766" s="409"/>
      <c r="C766" s="409"/>
      <c r="D766" s="410"/>
      <c r="E766" s="375">
        <v>14035</v>
      </c>
      <c r="F766" s="375"/>
      <c r="G766" s="376"/>
      <c r="H766" s="376"/>
      <c r="I766" s="376"/>
      <c r="J766" s="376"/>
    </row>
    <row r="767" spans="1:10" x14ac:dyDescent="0.2">
      <c r="A767" s="408" t="s">
        <v>964</v>
      </c>
      <c r="B767" s="409"/>
      <c r="C767" s="409"/>
      <c r="D767" s="410"/>
      <c r="E767" s="375">
        <v>9047</v>
      </c>
      <c r="F767" s="375"/>
      <c r="G767" s="376"/>
      <c r="H767" s="376"/>
      <c r="I767" s="376"/>
      <c r="J767" s="376"/>
    </row>
    <row r="768" spans="1:10" x14ac:dyDescent="0.2">
      <c r="A768" s="408"/>
      <c r="B768" s="409"/>
      <c r="C768" s="409"/>
      <c r="D768" s="410"/>
      <c r="E768" s="375"/>
      <c r="F768" s="375"/>
      <c r="G768" s="376"/>
      <c r="H768" s="376"/>
      <c r="I768" s="376"/>
      <c r="J768" s="376"/>
    </row>
    <row r="769" spans="1:10" x14ac:dyDescent="0.2">
      <c r="A769" s="411" t="s">
        <v>534</v>
      </c>
      <c r="B769" s="412"/>
      <c r="C769" s="412"/>
      <c r="D769" s="413"/>
      <c r="E769" s="414">
        <f>SUM(E759:E768)</f>
        <v>1216671</v>
      </c>
      <c r="F769" s="414"/>
      <c r="G769" s="414">
        <f>SUM(G759:G768)</f>
        <v>0</v>
      </c>
      <c r="H769" s="414"/>
      <c r="I769" s="414">
        <f>SUM(I759:I768)</f>
        <v>0</v>
      </c>
      <c r="J769" s="414"/>
    </row>
    <row r="770" spans="1:10" x14ac:dyDescent="0.2">
      <c r="A770" s="415" t="s">
        <v>860</v>
      </c>
      <c r="B770" s="416"/>
      <c r="C770" s="416"/>
      <c r="D770" s="416"/>
      <c r="E770" s="416"/>
      <c r="F770" s="416"/>
      <c r="G770" s="416"/>
      <c r="H770" s="416"/>
      <c r="I770" s="416"/>
      <c r="J770" s="417"/>
    </row>
    <row r="771" spans="1:10" x14ac:dyDescent="0.2">
      <c r="A771" s="358" t="s">
        <v>861</v>
      </c>
      <c r="B771" s="359"/>
      <c r="C771" s="359"/>
      <c r="D771" s="359"/>
      <c r="E771" s="359"/>
      <c r="F771" s="359"/>
      <c r="G771" s="359"/>
      <c r="H771" s="359"/>
      <c r="I771" s="359"/>
      <c r="J771" s="360"/>
    </row>
    <row r="772" spans="1:10" x14ac:dyDescent="0.2">
      <c r="A772" s="358" t="s">
        <v>862</v>
      </c>
      <c r="B772" s="359"/>
      <c r="C772" s="359"/>
      <c r="D772" s="359"/>
      <c r="E772" s="359"/>
      <c r="F772" s="359"/>
      <c r="G772" s="359"/>
      <c r="H772" s="359"/>
      <c r="I772" s="359"/>
      <c r="J772" s="360"/>
    </row>
    <row r="773" spans="1:10" x14ac:dyDescent="0.2">
      <c r="A773" s="361" t="s">
        <v>863</v>
      </c>
      <c r="B773" s="362"/>
      <c r="C773" s="362"/>
      <c r="D773" s="362"/>
      <c r="E773" s="362"/>
      <c r="F773" s="362"/>
      <c r="G773" s="362"/>
      <c r="H773" s="362"/>
      <c r="I773" s="362"/>
      <c r="J773" s="363"/>
    </row>
    <row r="774" spans="1:10" ht="12.75" customHeight="1" x14ac:dyDescent="0.2">
      <c r="A774" s="337" t="s">
        <v>979</v>
      </c>
      <c r="B774" s="463"/>
      <c r="C774" s="463"/>
      <c r="D774" s="463"/>
      <c r="E774" s="463"/>
      <c r="F774" s="463"/>
      <c r="G774" s="463"/>
      <c r="H774" s="463"/>
      <c r="I774" s="463"/>
      <c r="J774" s="464"/>
    </row>
    <row r="775" spans="1:10" x14ac:dyDescent="0.2">
      <c r="A775" s="465"/>
      <c r="B775" s="466"/>
      <c r="C775" s="466"/>
      <c r="D775" s="466"/>
      <c r="E775" s="466"/>
      <c r="F775" s="466"/>
      <c r="G775" s="466"/>
      <c r="H775" s="466"/>
      <c r="I775" s="466"/>
      <c r="J775" s="467"/>
    </row>
    <row r="776" spans="1:10" x14ac:dyDescent="0.2">
      <c r="A776" s="465"/>
      <c r="B776" s="466"/>
      <c r="C776" s="466"/>
      <c r="D776" s="466"/>
      <c r="E776" s="466"/>
      <c r="F776" s="466"/>
      <c r="G776" s="466"/>
      <c r="H776" s="466"/>
      <c r="I776" s="466"/>
      <c r="J776" s="467"/>
    </row>
    <row r="777" spans="1:10" x14ac:dyDescent="0.2">
      <c r="A777" s="465"/>
      <c r="B777" s="466"/>
      <c r="C777" s="466"/>
      <c r="D777" s="466"/>
      <c r="E777" s="466"/>
      <c r="F777" s="466"/>
      <c r="G777" s="466"/>
      <c r="H777" s="466"/>
      <c r="I777" s="466"/>
      <c r="J777" s="467"/>
    </row>
    <row r="778" spans="1:10" x14ac:dyDescent="0.2">
      <c r="A778" s="465"/>
      <c r="B778" s="466"/>
      <c r="C778" s="466"/>
      <c r="D778" s="466"/>
      <c r="E778" s="466"/>
      <c r="F778" s="466"/>
      <c r="G778" s="466"/>
      <c r="H778" s="466"/>
      <c r="I778" s="466"/>
      <c r="J778" s="467"/>
    </row>
    <row r="779" spans="1:10" x14ac:dyDescent="0.2">
      <c r="A779" s="465"/>
      <c r="B779" s="466"/>
      <c r="C779" s="466"/>
      <c r="D779" s="466"/>
      <c r="E779" s="466"/>
      <c r="F779" s="466"/>
      <c r="G779" s="466"/>
      <c r="H779" s="466"/>
      <c r="I779" s="466"/>
      <c r="J779" s="467"/>
    </row>
    <row r="780" spans="1:10" x14ac:dyDescent="0.2">
      <c r="A780" s="465"/>
      <c r="B780" s="466"/>
      <c r="C780" s="466"/>
      <c r="D780" s="466"/>
      <c r="E780" s="466"/>
      <c r="F780" s="466"/>
      <c r="G780" s="466"/>
      <c r="H780" s="466"/>
      <c r="I780" s="466"/>
      <c r="J780" s="467"/>
    </row>
    <row r="781" spans="1:10" x14ac:dyDescent="0.2">
      <c r="A781" s="465"/>
      <c r="B781" s="466"/>
      <c r="C781" s="466"/>
      <c r="D781" s="466"/>
      <c r="E781" s="466"/>
      <c r="F781" s="466"/>
      <c r="G781" s="466"/>
      <c r="H781" s="466"/>
      <c r="I781" s="466"/>
      <c r="J781" s="467"/>
    </row>
    <row r="782" spans="1:10" x14ac:dyDescent="0.2">
      <c r="A782" s="465"/>
      <c r="B782" s="466"/>
      <c r="C782" s="466"/>
      <c r="D782" s="466"/>
      <c r="E782" s="466"/>
      <c r="F782" s="466"/>
      <c r="G782" s="466"/>
      <c r="H782" s="466"/>
      <c r="I782" s="466"/>
      <c r="J782" s="467"/>
    </row>
    <row r="783" spans="1:10" x14ac:dyDescent="0.2">
      <c r="A783" s="465"/>
      <c r="B783" s="466"/>
      <c r="C783" s="466"/>
      <c r="D783" s="466"/>
      <c r="E783" s="466"/>
      <c r="F783" s="466"/>
      <c r="G783" s="466"/>
      <c r="H783" s="466"/>
      <c r="I783" s="466"/>
      <c r="J783" s="467"/>
    </row>
    <row r="784" spans="1:10" x14ac:dyDescent="0.2">
      <c r="A784" s="465"/>
      <c r="B784" s="466"/>
      <c r="C784" s="466"/>
      <c r="D784" s="466"/>
      <c r="E784" s="466"/>
      <c r="F784" s="466"/>
      <c r="G784" s="466"/>
      <c r="H784" s="466"/>
      <c r="I784" s="466"/>
      <c r="J784" s="467"/>
    </row>
    <row r="785" spans="1:10" x14ac:dyDescent="0.2">
      <c r="A785" s="465"/>
      <c r="B785" s="466"/>
      <c r="C785" s="466"/>
      <c r="D785" s="466"/>
      <c r="E785" s="466"/>
      <c r="F785" s="466"/>
      <c r="G785" s="466"/>
      <c r="H785" s="466"/>
      <c r="I785" s="466"/>
      <c r="J785" s="467"/>
    </row>
    <row r="786" spans="1:10" x14ac:dyDescent="0.2">
      <c r="A786" s="465"/>
      <c r="B786" s="466"/>
      <c r="C786" s="466"/>
      <c r="D786" s="466"/>
      <c r="E786" s="466"/>
      <c r="F786" s="466"/>
      <c r="G786" s="466"/>
      <c r="H786" s="466"/>
      <c r="I786" s="466"/>
      <c r="J786" s="467"/>
    </row>
    <row r="787" spans="1:10" x14ac:dyDescent="0.2">
      <c r="A787" s="465"/>
      <c r="B787" s="466"/>
      <c r="C787" s="466"/>
      <c r="D787" s="466"/>
      <c r="E787" s="466"/>
      <c r="F787" s="466"/>
      <c r="G787" s="466"/>
      <c r="H787" s="466"/>
      <c r="I787" s="466"/>
      <c r="J787" s="467"/>
    </row>
    <row r="788" spans="1:10" x14ac:dyDescent="0.2">
      <c r="A788" s="465"/>
      <c r="B788" s="466"/>
      <c r="C788" s="466"/>
      <c r="D788" s="466"/>
      <c r="E788" s="466"/>
      <c r="F788" s="466"/>
      <c r="G788" s="466"/>
      <c r="H788" s="466"/>
      <c r="I788" s="466"/>
      <c r="J788" s="467"/>
    </row>
    <row r="789" spans="1:10" x14ac:dyDescent="0.2">
      <c r="A789" s="465"/>
      <c r="B789" s="466"/>
      <c r="C789" s="466"/>
      <c r="D789" s="466"/>
      <c r="E789" s="466"/>
      <c r="F789" s="466"/>
      <c r="G789" s="466"/>
      <c r="H789" s="466"/>
      <c r="I789" s="466"/>
      <c r="J789" s="467"/>
    </row>
    <row r="790" spans="1:10" x14ac:dyDescent="0.2">
      <c r="A790" s="465"/>
      <c r="B790" s="466"/>
      <c r="C790" s="466"/>
      <c r="D790" s="466"/>
      <c r="E790" s="466"/>
      <c r="F790" s="466"/>
      <c r="G790" s="466"/>
      <c r="H790" s="466"/>
      <c r="I790" s="466"/>
      <c r="J790" s="467"/>
    </row>
    <row r="791" spans="1:10" x14ac:dyDescent="0.2">
      <c r="A791" s="465"/>
      <c r="B791" s="466"/>
      <c r="C791" s="466"/>
      <c r="D791" s="466"/>
      <c r="E791" s="466"/>
      <c r="F791" s="466"/>
      <c r="G791" s="466"/>
      <c r="H791" s="466"/>
      <c r="I791" s="466"/>
      <c r="J791" s="467"/>
    </row>
    <row r="792" spans="1:10" x14ac:dyDescent="0.2">
      <c r="A792" s="465"/>
      <c r="B792" s="466"/>
      <c r="C792" s="466"/>
      <c r="D792" s="466"/>
      <c r="E792" s="466"/>
      <c r="F792" s="466"/>
      <c r="G792" s="466"/>
      <c r="H792" s="466"/>
      <c r="I792" s="466"/>
      <c r="J792" s="467"/>
    </row>
    <row r="793" spans="1:10" x14ac:dyDescent="0.2">
      <c r="A793" s="465"/>
      <c r="B793" s="466"/>
      <c r="C793" s="466"/>
      <c r="D793" s="466"/>
      <c r="E793" s="466"/>
      <c r="F793" s="466"/>
      <c r="G793" s="466"/>
      <c r="H793" s="466"/>
      <c r="I793" s="466"/>
      <c r="J793" s="467"/>
    </row>
    <row r="794" spans="1:10" x14ac:dyDescent="0.2">
      <c r="A794" s="465"/>
      <c r="B794" s="466"/>
      <c r="C794" s="466"/>
      <c r="D794" s="466"/>
      <c r="E794" s="466"/>
      <c r="F794" s="466"/>
      <c r="G794" s="466"/>
      <c r="H794" s="466"/>
      <c r="I794" s="466"/>
      <c r="J794" s="467"/>
    </row>
    <row r="795" spans="1:10" x14ac:dyDescent="0.2">
      <c r="A795" s="465"/>
      <c r="B795" s="466"/>
      <c r="C795" s="466"/>
      <c r="D795" s="466"/>
      <c r="E795" s="466"/>
      <c r="F795" s="466"/>
      <c r="G795" s="466"/>
      <c r="H795" s="466"/>
      <c r="I795" s="466"/>
      <c r="J795" s="467"/>
    </row>
    <row r="796" spans="1:10" x14ac:dyDescent="0.2">
      <c r="A796" s="465"/>
      <c r="B796" s="466"/>
      <c r="C796" s="466"/>
      <c r="D796" s="466"/>
      <c r="E796" s="466"/>
      <c r="F796" s="466"/>
      <c r="G796" s="466"/>
      <c r="H796" s="466"/>
      <c r="I796" s="466"/>
      <c r="J796" s="467"/>
    </row>
    <row r="797" spans="1:10" x14ac:dyDescent="0.2">
      <c r="A797" s="465"/>
      <c r="B797" s="466"/>
      <c r="C797" s="466"/>
      <c r="D797" s="466"/>
      <c r="E797" s="466"/>
      <c r="F797" s="466"/>
      <c r="G797" s="466"/>
      <c r="H797" s="466"/>
      <c r="I797" s="466"/>
      <c r="J797" s="467"/>
    </row>
    <row r="798" spans="1:10" x14ac:dyDescent="0.2">
      <c r="A798" s="465"/>
      <c r="B798" s="466"/>
      <c r="C798" s="466"/>
      <c r="D798" s="466"/>
      <c r="E798" s="466"/>
      <c r="F798" s="466"/>
      <c r="G798" s="466"/>
      <c r="H798" s="466"/>
      <c r="I798" s="466"/>
      <c r="J798" s="467"/>
    </row>
    <row r="799" spans="1:10" x14ac:dyDescent="0.2">
      <c r="A799" s="465"/>
      <c r="B799" s="466"/>
      <c r="C799" s="466"/>
      <c r="D799" s="466"/>
      <c r="E799" s="466"/>
      <c r="F799" s="466"/>
      <c r="G799" s="466"/>
      <c r="H799" s="466"/>
      <c r="I799" s="466"/>
      <c r="J799" s="467"/>
    </row>
    <row r="800" spans="1:10" x14ac:dyDescent="0.2">
      <c r="A800" s="465"/>
      <c r="B800" s="466"/>
      <c r="C800" s="466"/>
      <c r="D800" s="466"/>
      <c r="E800" s="466"/>
      <c r="F800" s="466"/>
      <c r="G800" s="466"/>
      <c r="H800" s="466"/>
      <c r="I800" s="466"/>
      <c r="J800" s="467"/>
    </row>
    <row r="801" spans="1:10" x14ac:dyDescent="0.2">
      <c r="A801" s="465"/>
      <c r="B801" s="466"/>
      <c r="C801" s="466"/>
      <c r="D801" s="466"/>
      <c r="E801" s="466"/>
      <c r="F801" s="466"/>
      <c r="G801" s="466"/>
      <c r="H801" s="466"/>
      <c r="I801" s="466"/>
      <c r="J801" s="467"/>
    </row>
    <row r="802" spans="1:10" x14ac:dyDescent="0.2">
      <c r="A802" s="465"/>
      <c r="B802" s="466"/>
      <c r="C802" s="466"/>
      <c r="D802" s="466"/>
      <c r="E802" s="466"/>
      <c r="F802" s="466"/>
      <c r="G802" s="466"/>
      <c r="H802" s="466"/>
      <c r="I802" s="466"/>
      <c r="J802" s="467"/>
    </row>
    <row r="803" spans="1:10" x14ac:dyDescent="0.2">
      <c r="A803" s="465"/>
      <c r="B803" s="466"/>
      <c r="C803" s="466"/>
      <c r="D803" s="466"/>
      <c r="E803" s="466"/>
      <c r="F803" s="466"/>
      <c r="G803" s="466"/>
      <c r="H803" s="466"/>
      <c r="I803" s="466"/>
      <c r="J803" s="467"/>
    </row>
    <row r="804" spans="1:10" x14ac:dyDescent="0.2">
      <c r="A804" s="465"/>
      <c r="B804" s="466"/>
      <c r="C804" s="466"/>
      <c r="D804" s="466"/>
      <c r="E804" s="466"/>
      <c r="F804" s="466"/>
      <c r="G804" s="466"/>
      <c r="H804" s="466"/>
      <c r="I804" s="466"/>
      <c r="J804" s="467"/>
    </row>
    <row r="805" spans="1:10" x14ac:dyDescent="0.2">
      <c r="A805" s="465"/>
      <c r="B805" s="466"/>
      <c r="C805" s="466"/>
      <c r="D805" s="466"/>
      <c r="E805" s="466"/>
      <c r="F805" s="466"/>
      <c r="G805" s="466"/>
      <c r="H805" s="466"/>
      <c r="I805" s="466"/>
      <c r="J805" s="467"/>
    </row>
    <row r="806" spans="1:10" x14ac:dyDescent="0.2">
      <c r="A806" s="465"/>
      <c r="B806" s="466"/>
      <c r="C806" s="466"/>
      <c r="D806" s="466"/>
      <c r="E806" s="466"/>
      <c r="F806" s="466"/>
      <c r="G806" s="466"/>
      <c r="H806" s="466"/>
      <c r="I806" s="466"/>
      <c r="J806" s="467"/>
    </row>
    <row r="807" spans="1:10" x14ac:dyDescent="0.2">
      <c r="A807" s="465"/>
      <c r="B807" s="466"/>
      <c r="C807" s="466"/>
      <c r="D807" s="466"/>
      <c r="E807" s="466"/>
      <c r="F807" s="466"/>
      <c r="G807" s="466"/>
      <c r="H807" s="466"/>
      <c r="I807" s="466"/>
      <c r="J807" s="467"/>
    </row>
    <row r="808" spans="1:10" ht="103.5" customHeight="1" x14ac:dyDescent="0.2">
      <c r="A808" s="468"/>
      <c r="B808" s="469"/>
      <c r="C808" s="469"/>
      <c r="D808" s="469"/>
      <c r="E808" s="469"/>
      <c r="F808" s="469"/>
      <c r="G808" s="469"/>
      <c r="H808" s="469"/>
      <c r="I808" s="469"/>
      <c r="J808" s="470"/>
    </row>
    <row r="810" spans="1:10" ht="15.75" x14ac:dyDescent="0.25">
      <c r="A810" s="280" t="s">
        <v>847</v>
      </c>
      <c r="B810" s="281"/>
      <c r="C810" s="281"/>
      <c r="D810" s="281"/>
      <c r="E810" s="281"/>
      <c r="F810" s="281"/>
      <c r="G810" s="281"/>
      <c r="H810" s="278" t="str">
        <f>'CONTACT INFORMATION'!$A$24</f>
        <v>Los Angeles</v>
      </c>
      <c r="I810" s="278"/>
      <c r="J810" s="279"/>
    </row>
    <row r="811" spans="1:10" ht="8.1" customHeight="1" x14ac:dyDescent="0.2">
      <c r="A811" s="124"/>
      <c r="B811" s="124"/>
      <c r="C811" s="124"/>
      <c r="D811" s="124"/>
      <c r="E811" s="124"/>
      <c r="F811" s="124"/>
      <c r="G811" s="124"/>
      <c r="H811" s="124"/>
      <c r="I811" s="124"/>
      <c r="J811" s="124"/>
    </row>
    <row r="812" spans="1:10" ht="15" x14ac:dyDescent="0.25">
      <c r="A812" s="387" t="s">
        <v>866</v>
      </c>
      <c r="B812" s="388"/>
      <c r="C812" s="388"/>
      <c r="D812" s="388"/>
      <c r="E812" s="388"/>
      <c r="F812" s="388"/>
      <c r="G812" s="388"/>
      <c r="H812" s="388"/>
      <c r="I812" s="388"/>
      <c r="J812" s="389"/>
    </row>
    <row r="813" spans="1:10" x14ac:dyDescent="0.2">
      <c r="A813" s="390" t="s">
        <v>853</v>
      </c>
      <c r="B813" s="391"/>
      <c r="C813" s="391"/>
      <c r="D813" s="392"/>
      <c r="E813" s="434" t="s">
        <v>946</v>
      </c>
      <c r="F813" s="394"/>
      <c r="G813" s="394"/>
      <c r="H813" s="394"/>
      <c r="I813" s="394"/>
      <c r="J813" s="395"/>
    </row>
    <row r="814" spans="1:10" x14ac:dyDescent="0.2">
      <c r="A814" s="399" t="s">
        <v>852</v>
      </c>
      <c r="B814" s="400"/>
      <c r="C814" s="400"/>
      <c r="D814" s="401"/>
      <c r="E814" s="396"/>
      <c r="F814" s="397"/>
      <c r="G814" s="397"/>
      <c r="H814" s="397"/>
      <c r="I814" s="397"/>
      <c r="J814" s="398"/>
    </row>
    <row r="815" spans="1:10" x14ac:dyDescent="0.2">
      <c r="A815" s="402" t="s">
        <v>808</v>
      </c>
      <c r="B815" s="403"/>
      <c r="C815" s="403"/>
      <c r="D815" s="404"/>
      <c r="E815" s="405"/>
      <c r="F815" s="406"/>
      <c r="G815" s="406"/>
      <c r="H815" s="406"/>
      <c r="I815" s="406"/>
      <c r="J815" s="407"/>
    </row>
    <row r="816" spans="1:10" ht="27" customHeight="1" x14ac:dyDescent="0.2">
      <c r="A816" s="118"/>
      <c r="B816" s="158"/>
      <c r="C816" s="158"/>
      <c r="D816" s="158"/>
      <c r="E816" s="378" t="s">
        <v>535</v>
      </c>
      <c r="F816" s="379"/>
      <c r="G816" s="378" t="s">
        <v>533</v>
      </c>
      <c r="H816" s="379"/>
      <c r="I816" s="380" t="s">
        <v>848</v>
      </c>
      <c r="J816" s="381"/>
    </row>
    <row r="817" spans="1:10" x14ac:dyDescent="0.2">
      <c r="A817" s="382" t="s">
        <v>527</v>
      </c>
      <c r="B817" s="383"/>
      <c r="C817" s="383"/>
      <c r="D817" s="384"/>
      <c r="E817" s="385"/>
      <c r="F817" s="385"/>
      <c r="G817" s="385"/>
      <c r="H817" s="385"/>
      <c r="I817" s="386"/>
      <c r="J817" s="386"/>
    </row>
    <row r="818" spans="1:10" x14ac:dyDescent="0.2">
      <c r="A818" s="372" t="s">
        <v>528</v>
      </c>
      <c r="B818" s="373"/>
      <c r="C818" s="373"/>
      <c r="D818" s="374"/>
      <c r="E818" s="375">
        <v>514328</v>
      </c>
      <c r="F818" s="375"/>
      <c r="G818" s="376"/>
      <c r="H818" s="376"/>
      <c r="I818" s="377"/>
      <c r="J818" s="377"/>
    </row>
    <row r="819" spans="1:10" x14ac:dyDescent="0.2">
      <c r="A819" s="382" t="s">
        <v>529</v>
      </c>
      <c r="B819" s="383"/>
      <c r="C819" s="383"/>
      <c r="D819" s="384"/>
      <c r="E819" s="385">
        <v>8353</v>
      </c>
      <c r="F819" s="385"/>
      <c r="G819" s="385"/>
      <c r="H819" s="385"/>
      <c r="I819" s="386"/>
      <c r="J819" s="386"/>
    </row>
    <row r="820" spans="1:10" x14ac:dyDescent="0.2">
      <c r="A820" s="372" t="s">
        <v>530</v>
      </c>
      <c r="B820" s="373"/>
      <c r="C820" s="373"/>
      <c r="D820" s="374"/>
      <c r="E820" s="375"/>
      <c r="F820" s="375"/>
      <c r="G820" s="376"/>
      <c r="H820" s="376"/>
      <c r="I820" s="377"/>
      <c r="J820" s="377"/>
    </row>
    <row r="821" spans="1:10" x14ac:dyDescent="0.2">
      <c r="A821" s="382" t="s">
        <v>531</v>
      </c>
      <c r="B821" s="383"/>
      <c r="C821" s="383"/>
      <c r="D821" s="384"/>
      <c r="E821" s="385"/>
      <c r="F821" s="385"/>
      <c r="G821" s="385"/>
      <c r="H821" s="385"/>
      <c r="I821" s="386"/>
      <c r="J821" s="386"/>
    </row>
    <row r="822" spans="1:10" x14ac:dyDescent="0.2">
      <c r="A822" s="372" t="s">
        <v>532</v>
      </c>
      <c r="B822" s="373"/>
      <c r="C822" s="373"/>
      <c r="D822" s="374"/>
      <c r="E822" s="375">
        <v>2395</v>
      </c>
      <c r="F822" s="375"/>
      <c r="G822" s="376"/>
      <c r="H822" s="376"/>
      <c r="I822" s="377"/>
      <c r="J822" s="377"/>
    </row>
    <row r="823" spans="1:10" x14ac:dyDescent="0.2">
      <c r="A823" s="382" t="s">
        <v>537</v>
      </c>
      <c r="B823" s="383"/>
      <c r="C823" s="383"/>
      <c r="D823" s="384"/>
      <c r="E823" s="418"/>
      <c r="F823" s="418"/>
      <c r="G823" s="418"/>
      <c r="H823" s="418"/>
      <c r="I823" s="419"/>
      <c r="J823" s="419"/>
    </row>
    <row r="824" spans="1:10" x14ac:dyDescent="0.2">
      <c r="A824" s="408" t="s">
        <v>963</v>
      </c>
      <c r="B824" s="409"/>
      <c r="C824" s="409"/>
      <c r="D824" s="410"/>
      <c r="E824" s="375">
        <v>6174</v>
      </c>
      <c r="F824" s="375"/>
      <c r="G824" s="376"/>
      <c r="H824" s="376"/>
      <c r="I824" s="376"/>
      <c r="J824" s="376"/>
    </row>
    <row r="825" spans="1:10" x14ac:dyDescent="0.2">
      <c r="A825" s="408" t="s">
        <v>964</v>
      </c>
      <c r="B825" s="409"/>
      <c r="C825" s="409"/>
      <c r="D825" s="410"/>
      <c r="E825" s="375">
        <v>3980</v>
      </c>
      <c r="F825" s="375"/>
      <c r="G825" s="376"/>
      <c r="H825" s="376"/>
      <c r="I825" s="376"/>
      <c r="J825" s="376"/>
    </row>
    <row r="826" spans="1:10" x14ac:dyDescent="0.2">
      <c r="A826" s="408"/>
      <c r="B826" s="409"/>
      <c r="C826" s="409"/>
      <c r="D826" s="410"/>
      <c r="E826" s="375"/>
      <c r="F826" s="375"/>
      <c r="G826" s="376"/>
      <c r="H826" s="376"/>
      <c r="I826" s="376"/>
      <c r="J826" s="376"/>
    </row>
    <row r="827" spans="1:10" x14ac:dyDescent="0.2">
      <c r="A827" s="411" t="s">
        <v>534</v>
      </c>
      <c r="B827" s="412"/>
      <c r="C827" s="412"/>
      <c r="D827" s="413"/>
      <c r="E827" s="414">
        <f>SUM(E817:E826)</f>
        <v>535230</v>
      </c>
      <c r="F827" s="414"/>
      <c r="G827" s="414">
        <f>SUM(G817:G826)</f>
        <v>0</v>
      </c>
      <c r="H827" s="414"/>
      <c r="I827" s="414">
        <f>SUM(I817:I826)</f>
        <v>0</v>
      </c>
      <c r="J827" s="414"/>
    </row>
    <row r="828" spans="1:10" x14ac:dyDescent="0.2">
      <c r="A828" s="415" t="s">
        <v>860</v>
      </c>
      <c r="B828" s="416"/>
      <c r="C828" s="416"/>
      <c r="D828" s="416"/>
      <c r="E828" s="416"/>
      <c r="F828" s="416"/>
      <c r="G828" s="416"/>
      <c r="H828" s="416"/>
      <c r="I828" s="416"/>
      <c r="J828" s="417"/>
    </row>
    <row r="829" spans="1:10" x14ac:dyDescent="0.2">
      <c r="A829" s="358" t="s">
        <v>861</v>
      </c>
      <c r="B829" s="359"/>
      <c r="C829" s="359"/>
      <c r="D829" s="359"/>
      <c r="E829" s="359"/>
      <c r="F829" s="359"/>
      <c r="G829" s="359"/>
      <c r="H829" s="359"/>
      <c r="I829" s="359"/>
      <c r="J829" s="360"/>
    </row>
    <row r="830" spans="1:10" x14ac:dyDescent="0.2">
      <c r="A830" s="358" t="s">
        <v>862</v>
      </c>
      <c r="B830" s="359"/>
      <c r="C830" s="359"/>
      <c r="D830" s="359"/>
      <c r="E830" s="359"/>
      <c r="F830" s="359"/>
      <c r="G830" s="359"/>
      <c r="H830" s="359"/>
      <c r="I830" s="359"/>
      <c r="J830" s="360"/>
    </row>
    <row r="831" spans="1:10" x14ac:dyDescent="0.2">
      <c r="A831" s="361" t="s">
        <v>863</v>
      </c>
      <c r="B831" s="362"/>
      <c r="C831" s="362"/>
      <c r="D831" s="362"/>
      <c r="E831" s="362"/>
      <c r="F831" s="362"/>
      <c r="G831" s="362"/>
      <c r="H831" s="362"/>
      <c r="I831" s="362"/>
      <c r="J831" s="363"/>
    </row>
    <row r="832" spans="1:10" x14ac:dyDescent="0.2">
      <c r="A832" s="233" t="s">
        <v>947</v>
      </c>
      <c r="B832" s="364"/>
      <c r="C832" s="364"/>
      <c r="D832" s="364"/>
      <c r="E832" s="364"/>
      <c r="F832" s="364"/>
      <c r="G832" s="364"/>
      <c r="H832" s="364"/>
      <c r="I832" s="364"/>
      <c r="J832" s="365"/>
    </row>
    <row r="833" spans="1:10" x14ac:dyDescent="0.2">
      <c r="A833" s="366"/>
      <c r="B833" s="367"/>
      <c r="C833" s="367"/>
      <c r="D833" s="367"/>
      <c r="E833" s="367"/>
      <c r="F833" s="367"/>
      <c r="G833" s="367"/>
      <c r="H833" s="367"/>
      <c r="I833" s="367"/>
      <c r="J833" s="368"/>
    </row>
    <row r="834" spans="1:10" x14ac:dyDescent="0.2">
      <c r="A834" s="366"/>
      <c r="B834" s="367"/>
      <c r="C834" s="367"/>
      <c r="D834" s="367"/>
      <c r="E834" s="367"/>
      <c r="F834" s="367"/>
      <c r="G834" s="367"/>
      <c r="H834" s="367"/>
      <c r="I834" s="367"/>
      <c r="J834" s="368"/>
    </row>
    <row r="835" spans="1:10" x14ac:dyDescent="0.2">
      <c r="A835" s="366"/>
      <c r="B835" s="367"/>
      <c r="C835" s="367"/>
      <c r="D835" s="367"/>
      <c r="E835" s="367"/>
      <c r="F835" s="367"/>
      <c r="G835" s="367"/>
      <c r="H835" s="367"/>
      <c r="I835" s="367"/>
      <c r="J835" s="368"/>
    </row>
    <row r="836" spans="1:10" x14ac:dyDescent="0.2">
      <c r="A836" s="366"/>
      <c r="B836" s="367"/>
      <c r="C836" s="367"/>
      <c r="D836" s="367"/>
      <c r="E836" s="367"/>
      <c r="F836" s="367"/>
      <c r="G836" s="367"/>
      <c r="H836" s="367"/>
      <c r="I836" s="367"/>
      <c r="J836" s="368"/>
    </row>
    <row r="837" spans="1:10" x14ac:dyDescent="0.2">
      <c r="A837" s="366"/>
      <c r="B837" s="367"/>
      <c r="C837" s="367"/>
      <c r="D837" s="367"/>
      <c r="E837" s="367"/>
      <c r="F837" s="367"/>
      <c r="G837" s="367"/>
      <c r="H837" s="367"/>
      <c r="I837" s="367"/>
      <c r="J837" s="368"/>
    </row>
    <row r="838" spans="1:10" x14ac:dyDescent="0.2">
      <c r="A838" s="366"/>
      <c r="B838" s="367"/>
      <c r="C838" s="367"/>
      <c r="D838" s="367"/>
      <c r="E838" s="367"/>
      <c r="F838" s="367"/>
      <c r="G838" s="367"/>
      <c r="H838" s="367"/>
      <c r="I838" s="367"/>
      <c r="J838" s="368"/>
    </row>
    <row r="839" spans="1:10" x14ac:dyDescent="0.2">
      <c r="A839" s="366"/>
      <c r="B839" s="367"/>
      <c r="C839" s="367"/>
      <c r="D839" s="367"/>
      <c r="E839" s="367"/>
      <c r="F839" s="367"/>
      <c r="G839" s="367"/>
      <c r="H839" s="367"/>
      <c r="I839" s="367"/>
      <c r="J839" s="368"/>
    </row>
    <row r="840" spans="1:10" x14ac:dyDescent="0.2">
      <c r="A840" s="366"/>
      <c r="B840" s="367"/>
      <c r="C840" s="367"/>
      <c r="D840" s="367"/>
      <c r="E840" s="367"/>
      <c r="F840" s="367"/>
      <c r="G840" s="367"/>
      <c r="H840" s="367"/>
      <c r="I840" s="367"/>
      <c r="J840" s="368"/>
    </row>
    <row r="841" spans="1:10" x14ac:dyDescent="0.2">
      <c r="A841" s="366"/>
      <c r="B841" s="367"/>
      <c r="C841" s="367"/>
      <c r="D841" s="367"/>
      <c r="E841" s="367"/>
      <c r="F841" s="367"/>
      <c r="G841" s="367"/>
      <c r="H841" s="367"/>
      <c r="I841" s="367"/>
      <c r="J841" s="368"/>
    </row>
    <row r="842" spans="1:10" x14ac:dyDescent="0.2">
      <c r="A842" s="366"/>
      <c r="B842" s="367"/>
      <c r="C842" s="367"/>
      <c r="D842" s="367"/>
      <c r="E842" s="367"/>
      <c r="F842" s="367"/>
      <c r="G842" s="367"/>
      <c r="H842" s="367"/>
      <c r="I842" s="367"/>
      <c r="J842" s="368"/>
    </row>
    <row r="843" spans="1:10" x14ac:dyDescent="0.2">
      <c r="A843" s="366"/>
      <c r="B843" s="367"/>
      <c r="C843" s="367"/>
      <c r="D843" s="367"/>
      <c r="E843" s="367"/>
      <c r="F843" s="367"/>
      <c r="G843" s="367"/>
      <c r="H843" s="367"/>
      <c r="I843" s="367"/>
      <c r="J843" s="368"/>
    </row>
    <row r="844" spans="1:10" x14ac:dyDescent="0.2">
      <c r="A844" s="366"/>
      <c r="B844" s="367"/>
      <c r="C844" s="367"/>
      <c r="D844" s="367"/>
      <c r="E844" s="367"/>
      <c r="F844" s="367"/>
      <c r="G844" s="367"/>
      <c r="H844" s="367"/>
      <c r="I844" s="367"/>
      <c r="J844" s="368"/>
    </row>
    <row r="845" spans="1:10" x14ac:dyDescent="0.2">
      <c r="A845" s="366"/>
      <c r="B845" s="367"/>
      <c r="C845" s="367"/>
      <c r="D845" s="367"/>
      <c r="E845" s="367"/>
      <c r="F845" s="367"/>
      <c r="G845" s="367"/>
      <c r="H845" s="367"/>
      <c r="I845" s="367"/>
      <c r="J845" s="368"/>
    </row>
    <row r="846" spans="1:10" x14ac:dyDescent="0.2">
      <c r="A846" s="366"/>
      <c r="B846" s="367"/>
      <c r="C846" s="367"/>
      <c r="D846" s="367"/>
      <c r="E846" s="367"/>
      <c r="F846" s="367"/>
      <c r="G846" s="367"/>
      <c r="H846" s="367"/>
      <c r="I846" s="367"/>
      <c r="J846" s="368"/>
    </row>
    <row r="847" spans="1:10" x14ac:dyDescent="0.2">
      <c r="A847" s="366"/>
      <c r="B847" s="367"/>
      <c r="C847" s="367"/>
      <c r="D847" s="367"/>
      <c r="E847" s="367"/>
      <c r="F847" s="367"/>
      <c r="G847" s="367"/>
      <c r="H847" s="367"/>
      <c r="I847" s="367"/>
      <c r="J847" s="368"/>
    </row>
    <row r="848" spans="1:10" x14ac:dyDescent="0.2">
      <c r="A848" s="366"/>
      <c r="B848" s="367"/>
      <c r="C848" s="367"/>
      <c r="D848" s="367"/>
      <c r="E848" s="367"/>
      <c r="F848" s="367"/>
      <c r="G848" s="367"/>
      <c r="H848" s="367"/>
      <c r="I848" s="367"/>
      <c r="J848" s="368"/>
    </row>
    <row r="849" spans="1:10" x14ac:dyDescent="0.2">
      <c r="A849" s="366"/>
      <c r="B849" s="367"/>
      <c r="C849" s="367"/>
      <c r="D849" s="367"/>
      <c r="E849" s="367"/>
      <c r="F849" s="367"/>
      <c r="G849" s="367"/>
      <c r="H849" s="367"/>
      <c r="I849" s="367"/>
      <c r="J849" s="368"/>
    </row>
    <row r="850" spans="1:10" x14ac:dyDescent="0.2">
      <c r="A850" s="366"/>
      <c r="B850" s="367"/>
      <c r="C850" s="367"/>
      <c r="D850" s="367"/>
      <c r="E850" s="367"/>
      <c r="F850" s="367"/>
      <c r="G850" s="367"/>
      <c r="H850" s="367"/>
      <c r="I850" s="367"/>
      <c r="J850" s="368"/>
    </row>
    <row r="851" spans="1:10" x14ac:dyDescent="0.2">
      <c r="A851" s="366"/>
      <c r="B851" s="367"/>
      <c r="C851" s="367"/>
      <c r="D851" s="367"/>
      <c r="E851" s="367"/>
      <c r="F851" s="367"/>
      <c r="G851" s="367"/>
      <c r="H851" s="367"/>
      <c r="I851" s="367"/>
      <c r="J851" s="368"/>
    </row>
    <row r="852" spans="1:10" x14ac:dyDescent="0.2">
      <c r="A852" s="366"/>
      <c r="B852" s="367"/>
      <c r="C852" s="367"/>
      <c r="D852" s="367"/>
      <c r="E852" s="367"/>
      <c r="F852" s="367"/>
      <c r="G852" s="367"/>
      <c r="H852" s="367"/>
      <c r="I852" s="367"/>
      <c r="J852" s="368"/>
    </row>
    <row r="853" spans="1:10" x14ac:dyDescent="0.2">
      <c r="A853" s="366"/>
      <c r="B853" s="367"/>
      <c r="C853" s="367"/>
      <c r="D853" s="367"/>
      <c r="E853" s="367"/>
      <c r="F853" s="367"/>
      <c r="G853" s="367"/>
      <c r="H853" s="367"/>
      <c r="I853" s="367"/>
      <c r="J853" s="368"/>
    </row>
    <row r="854" spans="1:10" x14ac:dyDescent="0.2">
      <c r="A854" s="366"/>
      <c r="B854" s="367"/>
      <c r="C854" s="367"/>
      <c r="D854" s="367"/>
      <c r="E854" s="367"/>
      <c r="F854" s="367"/>
      <c r="G854" s="367"/>
      <c r="H854" s="367"/>
      <c r="I854" s="367"/>
      <c r="J854" s="368"/>
    </row>
    <row r="855" spans="1:10" x14ac:dyDescent="0.2">
      <c r="A855" s="366"/>
      <c r="B855" s="367"/>
      <c r="C855" s="367"/>
      <c r="D855" s="367"/>
      <c r="E855" s="367"/>
      <c r="F855" s="367"/>
      <c r="G855" s="367"/>
      <c r="H855" s="367"/>
      <c r="I855" s="367"/>
      <c r="J855" s="368"/>
    </row>
    <row r="856" spans="1:10" x14ac:dyDescent="0.2">
      <c r="A856" s="366"/>
      <c r="B856" s="367"/>
      <c r="C856" s="367"/>
      <c r="D856" s="367"/>
      <c r="E856" s="367"/>
      <c r="F856" s="367"/>
      <c r="G856" s="367"/>
      <c r="H856" s="367"/>
      <c r="I856" s="367"/>
      <c r="J856" s="368"/>
    </row>
    <row r="857" spans="1:10" x14ac:dyDescent="0.2">
      <c r="A857" s="366"/>
      <c r="B857" s="367"/>
      <c r="C857" s="367"/>
      <c r="D857" s="367"/>
      <c r="E857" s="367"/>
      <c r="F857" s="367"/>
      <c r="G857" s="367"/>
      <c r="H857" s="367"/>
      <c r="I857" s="367"/>
      <c r="J857" s="368"/>
    </row>
    <row r="858" spans="1:10" x14ac:dyDescent="0.2">
      <c r="A858" s="366"/>
      <c r="B858" s="367"/>
      <c r="C858" s="367"/>
      <c r="D858" s="367"/>
      <c r="E858" s="367"/>
      <c r="F858" s="367"/>
      <c r="G858" s="367"/>
      <c r="H858" s="367"/>
      <c r="I858" s="367"/>
      <c r="J858" s="368"/>
    </row>
    <row r="859" spans="1:10" x14ac:dyDescent="0.2">
      <c r="A859" s="366"/>
      <c r="B859" s="367"/>
      <c r="C859" s="367"/>
      <c r="D859" s="367"/>
      <c r="E859" s="367"/>
      <c r="F859" s="367"/>
      <c r="G859" s="367"/>
      <c r="H859" s="367"/>
      <c r="I859" s="367"/>
      <c r="J859" s="368"/>
    </row>
    <row r="860" spans="1:10" x14ac:dyDescent="0.2">
      <c r="A860" s="366"/>
      <c r="B860" s="367"/>
      <c r="C860" s="367"/>
      <c r="D860" s="367"/>
      <c r="E860" s="367"/>
      <c r="F860" s="367"/>
      <c r="G860" s="367"/>
      <c r="H860" s="367"/>
      <c r="I860" s="367"/>
      <c r="J860" s="368"/>
    </row>
    <row r="861" spans="1:10" x14ac:dyDescent="0.2">
      <c r="A861" s="366"/>
      <c r="B861" s="367"/>
      <c r="C861" s="367"/>
      <c r="D861" s="367"/>
      <c r="E861" s="367"/>
      <c r="F861" s="367"/>
      <c r="G861" s="367"/>
      <c r="H861" s="367"/>
      <c r="I861" s="367"/>
      <c r="J861" s="368"/>
    </row>
    <row r="862" spans="1:10" x14ac:dyDescent="0.2">
      <c r="A862" s="366"/>
      <c r="B862" s="367"/>
      <c r="C862" s="367"/>
      <c r="D862" s="367"/>
      <c r="E862" s="367"/>
      <c r="F862" s="367"/>
      <c r="G862" s="367"/>
      <c r="H862" s="367"/>
      <c r="I862" s="367"/>
      <c r="J862" s="368"/>
    </row>
    <row r="863" spans="1:10" x14ac:dyDescent="0.2">
      <c r="A863" s="366"/>
      <c r="B863" s="367"/>
      <c r="C863" s="367"/>
      <c r="D863" s="367"/>
      <c r="E863" s="367"/>
      <c r="F863" s="367"/>
      <c r="G863" s="367"/>
      <c r="H863" s="367"/>
      <c r="I863" s="367"/>
      <c r="J863" s="368"/>
    </row>
    <row r="864" spans="1:10" x14ac:dyDescent="0.2">
      <c r="A864" s="366"/>
      <c r="B864" s="367"/>
      <c r="C864" s="367"/>
      <c r="D864" s="367"/>
      <c r="E864" s="367"/>
      <c r="F864" s="367"/>
      <c r="G864" s="367"/>
      <c r="H864" s="367"/>
      <c r="I864" s="367"/>
      <c r="J864" s="368"/>
    </row>
    <row r="865" spans="1:10" x14ac:dyDescent="0.2">
      <c r="A865" s="366"/>
      <c r="B865" s="367"/>
      <c r="C865" s="367"/>
      <c r="D865" s="367"/>
      <c r="E865" s="367"/>
      <c r="F865" s="367"/>
      <c r="G865" s="367"/>
      <c r="H865" s="367"/>
      <c r="I865" s="367"/>
      <c r="J865" s="368"/>
    </row>
    <row r="866" spans="1:10" x14ac:dyDescent="0.2">
      <c r="A866" s="369"/>
      <c r="B866" s="370"/>
      <c r="C866" s="370"/>
      <c r="D866" s="370"/>
      <c r="E866" s="370"/>
      <c r="F866" s="370"/>
      <c r="G866" s="370"/>
      <c r="H866" s="370"/>
      <c r="I866" s="370"/>
      <c r="J866" s="371"/>
    </row>
    <row r="868" spans="1:10" ht="15.75" x14ac:dyDescent="0.25">
      <c r="A868" s="280" t="s">
        <v>847</v>
      </c>
      <c r="B868" s="281"/>
      <c r="C868" s="281"/>
      <c r="D868" s="281"/>
      <c r="E868" s="281"/>
      <c r="F868" s="281"/>
      <c r="G868" s="281"/>
      <c r="H868" s="278" t="str">
        <f>'CONTACT INFORMATION'!$A$24</f>
        <v>Los Angeles</v>
      </c>
      <c r="I868" s="278"/>
      <c r="J868" s="279"/>
    </row>
    <row r="869" spans="1:10" ht="8.1" customHeight="1" x14ac:dyDescent="0.2">
      <c r="A869" s="151"/>
      <c r="B869" s="32"/>
      <c r="C869" s="32"/>
      <c r="D869" s="32"/>
      <c r="E869" s="32"/>
      <c r="F869" s="32"/>
      <c r="G869" s="32"/>
      <c r="H869" s="32"/>
      <c r="I869" s="32"/>
      <c r="J869" s="152"/>
    </row>
    <row r="870" spans="1:10" ht="15" x14ac:dyDescent="0.25">
      <c r="A870" s="387" t="s">
        <v>867</v>
      </c>
      <c r="B870" s="388"/>
      <c r="C870" s="388"/>
      <c r="D870" s="388"/>
      <c r="E870" s="388"/>
      <c r="F870" s="388"/>
      <c r="G870" s="388"/>
      <c r="H870" s="388"/>
      <c r="I870" s="388"/>
      <c r="J870" s="389"/>
    </row>
    <row r="871" spans="1:10" x14ac:dyDescent="0.2">
      <c r="A871" s="390" t="s">
        <v>853</v>
      </c>
      <c r="B871" s="391"/>
      <c r="C871" s="391"/>
      <c r="D871" s="392"/>
      <c r="E871" s="393" t="s">
        <v>948</v>
      </c>
      <c r="F871" s="394"/>
      <c r="G871" s="394"/>
      <c r="H871" s="394"/>
      <c r="I871" s="394"/>
      <c r="J871" s="395"/>
    </row>
    <row r="872" spans="1:10" x14ac:dyDescent="0.2">
      <c r="A872" s="399" t="s">
        <v>852</v>
      </c>
      <c r="B872" s="400"/>
      <c r="C872" s="400"/>
      <c r="D872" s="401"/>
      <c r="E872" s="396"/>
      <c r="F872" s="397"/>
      <c r="G872" s="397"/>
      <c r="H872" s="397"/>
      <c r="I872" s="397"/>
      <c r="J872" s="398"/>
    </row>
    <row r="873" spans="1:10" x14ac:dyDescent="0.2">
      <c r="A873" s="402" t="s">
        <v>808</v>
      </c>
      <c r="B873" s="403"/>
      <c r="C873" s="403"/>
      <c r="D873" s="404"/>
      <c r="E873" s="405"/>
      <c r="F873" s="406"/>
      <c r="G873" s="406"/>
      <c r="H873" s="406"/>
      <c r="I873" s="406"/>
      <c r="J873" s="407"/>
    </row>
    <row r="874" spans="1:10" ht="27" customHeight="1" x14ac:dyDescent="0.2">
      <c r="A874" s="118"/>
      <c r="B874" s="158"/>
      <c r="C874" s="158"/>
      <c r="D874" s="158"/>
      <c r="E874" s="378" t="s">
        <v>535</v>
      </c>
      <c r="F874" s="379"/>
      <c r="G874" s="378" t="s">
        <v>533</v>
      </c>
      <c r="H874" s="379"/>
      <c r="I874" s="380" t="s">
        <v>848</v>
      </c>
      <c r="J874" s="381"/>
    </row>
    <row r="875" spans="1:10" x14ac:dyDescent="0.2">
      <c r="A875" s="382" t="s">
        <v>527</v>
      </c>
      <c r="B875" s="383"/>
      <c r="C875" s="383"/>
      <c r="D875" s="384"/>
      <c r="E875" s="385"/>
      <c r="F875" s="385"/>
      <c r="G875" s="385"/>
      <c r="H875" s="385"/>
      <c r="I875" s="386"/>
      <c r="J875" s="386"/>
    </row>
    <row r="876" spans="1:10" x14ac:dyDescent="0.2">
      <c r="A876" s="372" t="s">
        <v>528</v>
      </c>
      <c r="B876" s="373"/>
      <c r="C876" s="373"/>
      <c r="D876" s="374"/>
      <c r="E876" s="375">
        <v>277729</v>
      </c>
      <c r="F876" s="375"/>
      <c r="G876" s="376"/>
      <c r="H876" s="376"/>
      <c r="I876" s="377"/>
      <c r="J876" s="377"/>
    </row>
    <row r="877" spans="1:10" x14ac:dyDescent="0.2">
      <c r="A877" s="382" t="s">
        <v>529</v>
      </c>
      <c r="B877" s="383"/>
      <c r="C877" s="383"/>
      <c r="D877" s="384"/>
      <c r="E877" s="385">
        <v>30072</v>
      </c>
      <c r="F877" s="385"/>
      <c r="G877" s="385"/>
      <c r="H877" s="385"/>
      <c r="I877" s="386"/>
      <c r="J877" s="386"/>
    </row>
    <row r="878" spans="1:10" x14ac:dyDescent="0.2">
      <c r="A878" s="372" t="s">
        <v>530</v>
      </c>
      <c r="B878" s="373"/>
      <c r="C878" s="373"/>
      <c r="D878" s="374"/>
      <c r="E878" s="375">
        <v>1573796</v>
      </c>
      <c r="F878" s="375"/>
      <c r="G878" s="376"/>
      <c r="H878" s="376"/>
      <c r="I878" s="377"/>
      <c r="J878" s="377"/>
    </row>
    <row r="879" spans="1:10" x14ac:dyDescent="0.2">
      <c r="A879" s="382" t="s">
        <v>531</v>
      </c>
      <c r="B879" s="383"/>
      <c r="C879" s="383"/>
      <c r="D879" s="384"/>
      <c r="E879" s="385"/>
      <c r="F879" s="385"/>
      <c r="G879" s="385"/>
      <c r="H879" s="385"/>
      <c r="I879" s="386"/>
      <c r="J879" s="386"/>
    </row>
    <row r="880" spans="1:10" x14ac:dyDescent="0.2">
      <c r="A880" s="372" t="s">
        <v>532</v>
      </c>
      <c r="B880" s="373"/>
      <c r="C880" s="373"/>
      <c r="D880" s="374"/>
      <c r="E880" s="375">
        <v>8621</v>
      </c>
      <c r="F880" s="375"/>
      <c r="G880" s="376"/>
      <c r="H880" s="376"/>
      <c r="I880" s="377"/>
      <c r="J880" s="377"/>
    </row>
    <row r="881" spans="1:10" x14ac:dyDescent="0.2">
      <c r="A881" s="382" t="s">
        <v>537</v>
      </c>
      <c r="B881" s="383"/>
      <c r="C881" s="383"/>
      <c r="D881" s="384"/>
      <c r="E881" s="418"/>
      <c r="F881" s="418"/>
      <c r="G881" s="418"/>
      <c r="H881" s="418"/>
      <c r="I881" s="419"/>
      <c r="J881" s="419"/>
    </row>
    <row r="882" spans="1:10" x14ac:dyDescent="0.2">
      <c r="A882" s="408" t="s">
        <v>963</v>
      </c>
      <c r="B882" s="409"/>
      <c r="C882" s="409"/>
      <c r="D882" s="410"/>
      <c r="E882" s="375">
        <v>22226</v>
      </c>
      <c r="F882" s="375"/>
      <c r="G882" s="376"/>
      <c r="H882" s="376"/>
      <c r="I882" s="376"/>
      <c r="J882" s="376"/>
    </row>
    <row r="883" spans="1:10" x14ac:dyDescent="0.2">
      <c r="A883" s="408" t="s">
        <v>964</v>
      </c>
      <c r="B883" s="409"/>
      <c r="C883" s="409"/>
      <c r="D883" s="410"/>
      <c r="E883" s="375">
        <v>14327</v>
      </c>
      <c r="F883" s="375"/>
      <c r="G883" s="376"/>
      <c r="H883" s="376"/>
      <c r="I883" s="376"/>
      <c r="J883" s="376"/>
    </row>
    <row r="884" spans="1:10" x14ac:dyDescent="0.2">
      <c r="A884" s="408"/>
      <c r="B884" s="409"/>
      <c r="C884" s="409"/>
      <c r="D884" s="410"/>
      <c r="E884" s="375"/>
      <c r="F884" s="375"/>
      <c r="G884" s="376"/>
      <c r="H884" s="376"/>
      <c r="I884" s="376"/>
      <c r="J884" s="376"/>
    </row>
    <row r="885" spans="1:10" x14ac:dyDescent="0.2">
      <c r="A885" s="411" t="s">
        <v>534</v>
      </c>
      <c r="B885" s="412"/>
      <c r="C885" s="412"/>
      <c r="D885" s="413"/>
      <c r="E885" s="414">
        <f>SUM(E875:E884)</f>
        <v>1926771</v>
      </c>
      <c r="F885" s="414"/>
      <c r="G885" s="414">
        <f>SUM(G875:G884)</f>
        <v>0</v>
      </c>
      <c r="H885" s="414"/>
      <c r="I885" s="414">
        <f>SUM(I875:I884)</f>
        <v>0</v>
      </c>
      <c r="J885" s="414"/>
    </row>
    <row r="886" spans="1:10" x14ac:dyDescent="0.2">
      <c r="A886" s="415" t="s">
        <v>860</v>
      </c>
      <c r="B886" s="416"/>
      <c r="C886" s="416"/>
      <c r="D886" s="416"/>
      <c r="E886" s="416"/>
      <c r="F886" s="416"/>
      <c r="G886" s="416"/>
      <c r="H886" s="416"/>
      <c r="I886" s="416"/>
      <c r="J886" s="417"/>
    </row>
    <row r="887" spans="1:10" x14ac:dyDescent="0.2">
      <c r="A887" s="358" t="s">
        <v>861</v>
      </c>
      <c r="B887" s="359"/>
      <c r="C887" s="359"/>
      <c r="D887" s="359"/>
      <c r="E887" s="359"/>
      <c r="F887" s="359"/>
      <c r="G887" s="359"/>
      <c r="H887" s="359"/>
      <c r="I887" s="359"/>
      <c r="J887" s="360"/>
    </row>
    <row r="888" spans="1:10" x14ac:dyDescent="0.2">
      <c r="A888" s="358" t="s">
        <v>862</v>
      </c>
      <c r="B888" s="359"/>
      <c r="C888" s="359"/>
      <c r="D888" s="359"/>
      <c r="E888" s="359"/>
      <c r="F888" s="359"/>
      <c r="G888" s="359"/>
      <c r="H888" s="359"/>
      <c r="I888" s="359"/>
      <c r="J888" s="360"/>
    </row>
    <row r="889" spans="1:10" x14ac:dyDescent="0.2">
      <c r="A889" s="361" t="s">
        <v>863</v>
      </c>
      <c r="B889" s="362"/>
      <c r="C889" s="362"/>
      <c r="D889" s="362"/>
      <c r="E889" s="362"/>
      <c r="F889" s="362"/>
      <c r="G889" s="362"/>
      <c r="H889" s="362"/>
      <c r="I889" s="362"/>
      <c r="J889" s="363"/>
    </row>
    <row r="890" spans="1:10" x14ac:dyDescent="0.2">
      <c r="A890" s="337" t="s">
        <v>980</v>
      </c>
      <c r="B890" s="463"/>
      <c r="C890" s="463"/>
      <c r="D890" s="463"/>
      <c r="E890" s="463"/>
      <c r="F890" s="463"/>
      <c r="G890" s="463"/>
      <c r="H890" s="463"/>
      <c r="I890" s="463"/>
      <c r="J890" s="464"/>
    </row>
    <row r="891" spans="1:10" x14ac:dyDescent="0.2">
      <c r="A891" s="465"/>
      <c r="B891" s="466"/>
      <c r="C891" s="466"/>
      <c r="D891" s="466"/>
      <c r="E891" s="466"/>
      <c r="F891" s="466"/>
      <c r="G891" s="466"/>
      <c r="H891" s="466"/>
      <c r="I891" s="466"/>
      <c r="J891" s="467"/>
    </row>
    <row r="892" spans="1:10" x14ac:dyDescent="0.2">
      <c r="A892" s="465"/>
      <c r="B892" s="466"/>
      <c r="C892" s="466"/>
      <c r="D892" s="466"/>
      <c r="E892" s="466"/>
      <c r="F892" s="466"/>
      <c r="G892" s="466"/>
      <c r="H892" s="466"/>
      <c r="I892" s="466"/>
      <c r="J892" s="467"/>
    </row>
    <row r="893" spans="1:10" x14ac:dyDescent="0.2">
      <c r="A893" s="465"/>
      <c r="B893" s="466"/>
      <c r="C893" s="466"/>
      <c r="D893" s="466"/>
      <c r="E893" s="466"/>
      <c r="F893" s="466"/>
      <c r="G893" s="466"/>
      <c r="H893" s="466"/>
      <c r="I893" s="466"/>
      <c r="J893" s="467"/>
    </row>
    <row r="894" spans="1:10" x14ac:dyDescent="0.2">
      <c r="A894" s="465"/>
      <c r="B894" s="466"/>
      <c r="C894" s="466"/>
      <c r="D894" s="466"/>
      <c r="E894" s="466"/>
      <c r="F894" s="466"/>
      <c r="G894" s="466"/>
      <c r="H894" s="466"/>
      <c r="I894" s="466"/>
      <c r="J894" s="467"/>
    </row>
    <row r="895" spans="1:10" x14ac:dyDescent="0.2">
      <c r="A895" s="465"/>
      <c r="B895" s="466"/>
      <c r="C895" s="466"/>
      <c r="D895" s="466"/>
      <c r="E895" s="466"/>
      <c r="F895" s="466"/>
      <c r="G895" s="466"/>
      <c r="H895" s="466"/>
      <c r="I895" s="466"/>
      <c r="J895" s="467"/>
    </row>
    <row r="896" spans="1:10" x14ac:dyDescent="0.2">
      <c r="A896" s="465"/>
      <c r="B896" s="466"/>
      <c r="C896" s="466"/>
      <c r="D896" s="466"/>
      <c r="E896" s="466"/>
      <c r="F896" s="466"/>
      <c r="G896" s="466"/>
      <c r="H896" s="466"/>
      <c r="I896" s="466"/>
      <c r="J896" s="467"/>
    </row>
    <row r="897" spans="1:10" x14ac:dyDescent="0.2">
      <c r="A897" s="465"/>
      <c r="B897" s="466"/>
      <c r="C897" s="466"/>
      <c r="D897" s="466"/>
      <c r="E897" s="466"/>
      <c r="F897" s="466"/>
      <c r="G897" s="466"/>
      <c r="H897" s="466"/>
      <c r="I897" s="466"/>
      <c r="J897" s="467"/>
    </row>
    <row r="898" spans="1:10" x14ac:dyDescent="0.2">
      <c r="A898" s="465"/>
      <c r="B898" s="466"/>
      <c r="C898" s="466"/>
      <c r="D898" s="466"/>
      <c r="E898" s="466"/>
      <c r="F898" s="466"/>
      <c r="G898" s="466"/>
      <c r="H898" s="466"/>
      <c r="I898" s="466"/>
      <c r="J898" s="467"/>
    </row>
    <row r="899" spans="1:10" x14ac:dyDescent="0.2">
      <c r="A899" s="465"/>
      <c r="B899" s="466"/>
      <c r="C899" s="466"/>
      <c r="D899" s="466"/>
      <c r="E899" s="466"/>
      <c r="F899" s="466"/>
      <c r="G899" s="466"/>
      <c r="H899" s="466"/>
      <c r="I899" s="466"/>
      <c r="J899" s="467"/>
    </row>
    <row r="900" spans="1:10" x14ac:dyDescent="0.2">
      <c r="A900" s="465"/>
      <c r="B900" s="466"/>
      <c r="C900" s="466"/>
      <c r="D900" s="466"/>
      <c r="E900" s="466"/>
      <c r="F900" s="466"/>
      <c r="G900" s="466"/>
      <c r="H900" s="466"/>
      <c r="I900" s="466"/>
      <c r="J900" s="467"/>
    </row>
    <row r="901" spans="1:10" x14ac:dyDescent="0.2">
      <c r="A901" s="465"/>
      <c r="B901" s="466"/>
      <c r="C901" s="466"/>
      <c r="D901" s="466"/>
      <c r="E901" s="466"/>
      <c r="F901" s="466"/>
      <c r="G901" s="466"/>
      <c r="H901" s="466"/>
      <c r="I901" s="466"/>
      <c r="J901" s="467"/>
    </row>
    <row r="902" spans="1:10" x14ac:dyDescent="0.2">
      <c r="A902" s="465"/>
      <c r="B902" s="466"/>
      <c r="C902" s="466"/>
      <c r="D902" s="466"/>
      <c r="E902" s="466"/>
      <c r="F902" s="466"/>
      <c r="G902" s="466"/>
      <c r="H902" s="466"/>
      <c r="I902" s="466"/>
      <c r="J902" s="467"/>
    </row>
    <row r="903" spans="1:10" x14ac:dyDescent="0.2">
      <c r="A903" s="465"/>
      <c r="B903" s="466"/>
      <c r="C903" s="466"/>
      <c r="D903" s="466"/>
      <c r="E903" s="466"/>
      <c r="F903" s="466"/>
      <c r="G903" s="466"/>
      <c r="H903" s="466"/>
      <c r="I903" s="466"/>
      <c r="J903" s="467"/>
    </row>
    <row r="904" spans="1:10" x14ac:dyDescent="0.2">
      <c r="A904" s="465"/>
      <c r="B904" s="466"/>
      <c r="C904" s="466"/>
      <c r="D904" s="466"/>
      <c r="E904" s="466"/>
      <c r="F904" s="466"/>
      <c r="G904" s="466"/>
      <c r="H904" s="466"/>
      <c r="I904" s="466"/>
      <c r="J904" s="467"/>
    </row>
    <row r="905" spans="1:10" x14ac:dyDescent="0.2">
      <c r="A905" s="465"/>
      <c r="B905" s="466"/>
      <c r="C905" s="466"/>
      <c r="D905" s="466"/>
      <c r="E905" s="466"/>
      <c r="F905" s="466"/>
      <c r="G905" s="466"/>
      <c r="H905" s="466"/>
      <c r="I905" s="466"/>
      <c r="J905" s="467"/>
    </row>
    <row r="906" spans="1:10" x14ac:dyDescent="0.2">
      <c r="A906" s="465"/>
      <c r="B906" s="466"/>
      <c r="C906" s="466"/>
      <c r="D906" s="466"/>
      <c r="E906" s="466"/>
      <c r="F906" s="466"/>
      <c r="G906" s="466"/>
      <c r="H906" s="466"/>
      <c r="I906" s="466"/>
      <c r="J906" s="467"/>
    </row>
    <row r="907" spans="1:10" x14ac:dyDescent="0.2">
      <c r="A907" s="465"/>
      <c r="B907" s="466"/>
      <c r="C907" s="466"/>
      <c r="D907" s="466"/>
      <c r="E907" s="466"/>
      <c r="F907" s="466"/>
      <c r="G907" s="466"/>
      <c r="H907" s="466"/>
      <c r="I907" s="466"/>
      <c r="J907" s="467"/>
    </row>
    <row r="908" spans="1:10" x14ac:dyDescent="0.2">
      <c r="A908" s="465"/>
      <c r="B908" s="466"/>
      <c r="C908" s="466"/>
      <c r="D908" s="466"/>
      <c r="E908" s="466"/>
      <c r="F908" s="466"/>
      <c r="G908" s="466"/>
      <c r="H908" s="466"/>
      <c r="I908" s="466"/>
      <c r="J908" s="467"/>
    </row>
    <row r="909" spans="1:10" x14ac:dyDescent="0.2">
      <c r="A909" s="465"/>
      <c r="B909" s="466"/>
      <c r="C909" s="466"/>
      <c r="D909" s="466"/>
      <c r="E909" s="466"/>
      <c r="F909" s="466"/>
      <c r="G909" s="466"/>
      <c r="H909" s="466"/>
      <c r="I909" s="466"/>
      <c r="J909" s="467"/>
    </row>
    <row r="910" spans="1:10" x14ac:dyDescent="0.2">
      <c r="A910" s="465"/>
      <c r="B910" s="466"/>
      <c r="C910" s="466"/>
      <c r="D910" s="466"/>
      <c r="E910" s="466"/>
      <c r="F910" s="466"/>
      <c r="G910" s="466"/>
      <c r="H910" s="466"/>
      <c r="I910" s="466"/>
      <c r="J910" s="467"/>
    </row>
    <row r="911" spans="1:10" x14ac:dyDescent="0.2">
      <c r="A911" s="465"/>
      <c r="B911" s="466"/>
      <c r="C911" s="466"/>
      <c r="D911" s="466"/>
      <c r="E911" s="466"/>
      <c r="F911" s="466"/>
      <c r="G911" s="466"/>
      <c r="H911" s="466"/>
      <c r="I911" s="466"/>
      <c r="J911" s="467"/>
    </row>
    <row r="912" spans="1:10" x14ac:dyDescent="0.2">
      <c r="A912" s="465"/>
      <c r="B912" s="466"/>
      <c r="C912" s="466"/>
      <c r="D912" s="466"/>
      <c r="E912" s="466"/>
      <c r="F912" s="466"/>
      <c r="G912" s="466"/>
      <c r="H912" s="466"/>
      <c r="I912" s="466"/>
      <c r="J912" s="467"/>
    </row>
    <row r="913" spans="1:10" x14ac:dyDescent="0.2">
      <c r="A913" s="465"/>
      <c r="B913" s="466"/>
      <c r="C913" s="466"/>
      <c r="D913" s="466"/>
      <c r="E913" s="466"/>
      <c r="F913" s="466"/>
      <c r="G913" s="466"/>
      <c r="H913" s="466"/>
      <c r="I913" s="466"/>
      <c r="J913" s="467"/>
    </row>
    <row r="914" spans="1:10" x14ac:dyDescent="0.2">
      <c r="A914" s="465"/>
      <c r="B914" s="466"/>
      <c r="C914" s="466"/>
      <c r="D914" s="466"/>
      <c r="E914" s="466"/>
      <c r="F914" s="466"/>
      <c r="G914" s="466"/>
      <c r="H914" s="466"/>
      <c r="I914" s="466"/>
      <c r="J914" s="467"/>
    </row>
    <row r="915" spans="1:10" x14ac:dyDescent="0.2">
      <c r="A915" s="465"/>
      <c r="B915" s="466"/>
      <c r="C915" s="466"/>
      <c r="D915" s="466"/>
      <c r="E915" s="466"/>
      <c r="F915" s="466"/>
      <c r="G915" s="466"/>
      <c r="H915" s="466"/>
      <c r="I915" s="466"/>
      <c r="J915" s="467"/>
    </row>
    <row r="916" spans="1:10" x14ac:dyDescent="0.2">
      <c r="A916" s="465"/>
      <c r="B916" s="466"/>
      <c r="C916" s="466"/>
      <c r="D916" s="466"/>
      <c r="E916" s="466"/>
      <c r="F916" s="466"/>
      <c r="G916" s="466"/>
      <c r="H916" s="466"/>
      <c r="I916" s="466"/>
      <c r="J916" s="467"/>
    </row>
    <row r="917" spans="1:10" x14ac:dyDescent="0.2">
      <c r="A917" s="465"/>
      <c r="B917" s="466"/>
      <c r="C917" s="466"/>
      <c r="D917" s="466"/>
      <c r="E917" s="466"/>
      <c r="F917" s="466"/>
      <c r="G917" s="466"/>
      <c r="H917" s="466"/>
      <c r="I917" s="466"/>
      <c r="J917" s="467"/>
    </row>
    <row r="918" spans="1:10" x14ac:dyDescent="0.2">
      <c r="A918" s="465"/>
      <c r="B918" s="466"/>
      <c r="C918" s="466"/>
      <c r="D918" s="466"/>
      <c r="E918" s="466"/>
      <c r="F918" s="466"/>
      <c r="G918" s="466"/>
      <c r="H918" s="466"/>
      <c r="I918" s="466"/>
      <c r="J918" s="467"/>
    </row>
    <row r="919" spans="1:10" x14ac:dyDescent="0.2">
      <c r="A919" s="465"/>
      <c r="B919" s="466"/>
      <c r="C919" s="466"/>
      <c r="D919" s="466"/>
      <c r="E919" s="466"/>
      <c r="F919" s="466"/>
      <c r="G919" s="466"/>
      <c r="H919" s="466"/>
      <c r="I919" s="466"/>
      <c r="J919" s="467"/>
    </row>
    <row r="920" spans="1:10" x14ac:dyDescent="0.2">
      <c r="A920" s="465"/>
      <c r="B920" s="466"/>
      <c r="C920" s="466"/>
      <c r="D920" s="466"/>
      <c r="E920" s="466"/>
      <c r="F920" s="466"/>
      <c r="G920" s="466"/>
      <c r="H920" s="466"/>
      <c r="I920" s="466"/>
      <c r="J920" s="467"/>
    </row>
    <row r="921" spans="1:10" x14ac:dyDescent="0.2">
      <c r="A921" s="465"/>
      <c r="B921" s="466"/>
      <c r="C921" s="466"/>
      <c r="D921" s="466"/>
      <c r="E921" s="466"/>
      <c r="F921" s="466"/>
      <c r="G921" s="466"/>
      <c r="H921" s="466"/>
      <c r="I921" s="466"/>
      <c r="J921" s="467"/>
    </row>
    <row r="922" spans="1:10" x14ac:dyDescent="0.2">
      <c r="A922" s="465"/>
      <c r="B922" s="466"/>
      <c r="C922" s="466"/>
      <c r="D922" s="466"/>
      <c r="E922" s="466"/>
      <c r="F922" s="466"/>
      <c r="G922" s="466"/>
      <c r="H922" s="466"/>
      <c r="I922" s="466"/>
      <c r="J922" s="467"/>
    </row>
    <row r="923" spans="1:10" x14ac:dyDescent="0.2">
      <c r="A923" s="465"/>
      <c r="B923" s="466"/>
      <c r="C923" s="466"/>
      <c r="D923" s="466"/>
      <c r="E923" s="466"/>
      <c r="F923" s="466"/>
      <c r="G923" s="466"/>
      <c r="H923" s="466"/>
      <c r="I923" s="466"/>
      <c r="J923" s="467"/>
    </row>
    <row r="924" spans="1:10" x14ac:dyDescent="0.2">
      <c r="A924" s="468"/>
      <c r="B924" s="469"/>
      <c r="C924" s="469"/>
      <c r="D924" s="469"/>
      <c r="E924" s="469"/>
      <c r="F924" s="469"/>
      <c r="G924" s="469"/>
      <c r="H924" s="469"/>
      <c r="I924" s="469"/>
      <c r="J924" s="470"/>
    </row>
    <row r="926" spans="1:10" ht="15.75" x14ac:dyDescent="0.25">
      <c r="A926" s="280" t="s">
        <v>847</v>
      </c>
      <c r="B926" s="281"/>
      <c r="C926" s="281"/>
      <c r="D926" s="281"/>
      <c r="E926" s="281"/>
      <c r="F926" s="281"/>
      <c r="G926" s="281"/>
      <c r="H926" s="278" t="str">
        <f>'CONTACT INFORMATION'!$A$24</f>
        <v>Los Angeles</v>
      </c>
      <c r="I926" s="278"/>
      <c r="J926" s="279"/>
    </row>
    <row r="927" spans="1:10" ht="8.4499999999999993" customHeight="1" x14ac:dyDescent="0.2">
      <c r="A927" s="124"/>
      <c r="B927" s="124"/>
      <c r="C927" s="124"/>
      <c r="D927" s="124"/>
      <c r="E927" s="124"/>
      <c r="F927" s="124"/>
      <c r="G927" s="124"/>
      <c r="H927" s="124"/>
      <c r="I927" s="124"/>
      <c r="J927" s="124"/>
    </row>
    <row r="928" spans="1:10" ht="15" x14ac:dyDescent="0.25">
      <c r="A928" s="387" t="s">
        <v>868</v>
      </c>
      <c r="B928" s="388"/>
      <c r="C928" s="388"/>
      <c r="D928" s="388"/>
      <c r="E928" s="388"/>
      <c r="F928" s="388"/>
      <c r="G928" s="388"/>
      <c r="H928" s="388"/>
      <c r="I928" s="388"/>
      <c r="J928" s="389"/>
    </row>
    <row r="929" spans="1:10" x14ac:dyDescent="0.2">
      <c r="A929" s="390" t="s">
        <v>853</v>
      </c>
      <c r="B929" s="391"/>
      <c r="C929" s="391"/>
      <c r="D929" s="392"/>
      <c r="E929" s="393" t="s">
        <v>958</v>
      </c>
      <c r="F929" s="394"/>
      <c r="G929" s="394"/>
      <c r="H929" s="394"/>
      <c r="I929" s="394"/>
      <c r="J929" s="395"/>
    </row>
    <row r="930" spans="1:10" x14ac:dyDescent="0.2">
      <c r="A930" s="399" t="s">
        <v>852</v>
      </c>
      <c r="B930" s="400"/>
      <c r="C930" s="400"/>
      <c r="D930" s="401"/>
      <c r="E930" s="396"/>
      <c r="F930" s="397"/>
      <c r="G930" s="397"/>
      <c r="H930" s="397"/>
      <c r="I930" s="397"/>
      <c r="J930" s="398"/>
    </row>
    <row r="931" spans="1:10" x14ac:dyDescent="0.2">
      <c r="A931" s="402" t="s">
        <v>808</v>
      </c>
      <c r="B931" s="403"/>
      <c r="C931" s="403"/>
      <c r="D931" s="404"/>
      <c r="E931" s="405"/>
      <c r="F931" s="406"/>
      <c r="G931" s="406"/>
      <c r="H931" s="406"/>
      <c r="I931" s="406"/>
      <c r="J931" s="407"/>
    </row>
    <row r="932" spans="1:10" ht="27" customHeight="1" x14ac:dyDescent="0.2">
      <c r="A932" s="118"/>
      <c r="B932" s="158"/>
      <c r="C932" s="158"/>
      <c r="D932" s="158"/>
      <c r="E932" s="378" t="s">
        <v>535</v>
      </c>
      <c r="F932" s="379"/>
      <c r="G932" s="378" t="s">
        <v>533</v>
      </c>
      <c r="H932" s="379"/>
      <c r="I932" s="380" t="s">
        <v>848</v>
      </c>
      <c r="J932" s="381"/>
    </row>
    <row r="933" spans="1:10" x14ac:dyDescent="0.2">
      <c r="A933" s="382" t="s">
        <v>527</v>
      </c>
      <c r="B933" s="383"/>
      <c r="C933" s="383"/>
      <c r="D933" s="384"/>
      <c r="E933" s="385">
        <v>4422808</v>
      </c>
      <c r="F933" s="385"/>
      <c r="G933" s="385"/>
      <c r="H933" s="385"/>
      <c r="I933" s="386"/>
      <c r="J933" s="386"/>
    </row>
    <row r="934" spans="1:10" x14ac:dyDescent="0.2">
      <c r="A934" s="372" t="s">
        <v>528</v>
      </c>
      <c r="B934" s="373"/>
      <c r="C934" s="373"/>
      <c r="D934" s="374"/>
      <c r="E934" s="375"/>
      <c r="F934" s="375"/>
      <c r="G934" s="376"/>
      <c r="H934" s="376"/>
      <c r="I934" s="377"/>
      <c r="J934" s="377"/>
    </row>
    <row r="935" spans="1:10" x14ac:dyDescent="0.2">
      <c r="A935" s="382" t="s">
        <v>529</v>
      </c>
      <c r="B935" s="383"/>
      <c r="C935" s="383"/>
      <c r="D935" s="384"/>
      <c r="E935" s="385">
        <v>71834</v>
      </c>
      <c r="F935" s="385"/>
      <c r="G935" s="385"/>
      <c r="H935" s="385"/>
      <c r="I935" s="386"/>
      <c r="J935" s="386"/>
    </row>
    <row r="936" spans="1:10" x14ac:dyDescent="0.2">
      <c r="A936" s="372" t="s">
        <v>530</v>
      </c>
      <c r="B936" s="373"/>
      <c r="C936" s="373"/>
      <c r="D936" s="374"/>
      <c r="E936" s="375"/>
      <c r="F936" s="375"/>
      <c r="G936" s="376"/>
      <c r="H936" s="376"/>
      <c r="I936" s="377"/>
      <c r="J936" s="377"/>
    </row>
    <row r="937" spans="1:10" x14ac:dyDescent="0.2">
      <c r="A937" s="382" t="s">
        <v>531</v>
      </c>
      <c r="B937" s="383"/>
      <c r="C937" s="383"/>
      <c r="D937" s="384"/>
      <c r="E937" s="385"/>
      <c r="F937" s="385"/>
      <c r="G937" s="385"/>
      <c r="H937" s="385"/>
      <c r="I937" s="386"/>
      <c r="J937" s="386"/>
    </row>
    <row r="938" spans="1:10" x14ac:dyDescent="0.2">
      <c r="A938" s="372" t="s">
        <v>532</v>
      </c>
      <c r="B938" s="373"/>
      <c r="C938" s="373"/>
      <c r="D938" s="374"/>
      <c r="E938" s="375">
        <v>20593</v>
      </c>
      <c r="F938" s="375"/>
      <c r="G938" s="376"/>
      <c r="H938" s="376"/>
      <c r="I938" s="377"/>
      <c r="J938" s="377"/>
    </row>
    <row r="939" spans="1:10" x14ac:dyDescent="0.2">
      <c r="A939" s="382" t="s">
        <v>537</v>
      </c>
      <c r="B939" s="383"/>
      <c r="C939" s="383"/>
      <c r="D939" s="384"/>
      <c r="E939" s="418"/>
      <c r="F939" s="418"/>
      <c r="G939" s="418"/>
      <c r="H939" s="418"/>
      <c r="I939" s="419"/>
      <c r="J939" s="419"/>
    </row>
    <row r="940" spans="1:10" x14ac:dyDescent="0.2">
      <c r="A940" s="408" t="s">
        <v>963</v>
      </c>
      <c r="B940" s="409"/>
      <c r="C940" s="409"/>
      <c r="D940" s="410"/>
      <c r="E940" s="375">
        <v>53093</v>
      </c>
      <c r="F940" s="375"/>
      <c r="G940" s="376"/>
      <c r="H940" s="376"/>
      <c r="I940" s="376"/>
      <c r="J940" s="376"/>
    </row>
    <row r="941" spans="1:10" x14ac:dyDescent="0.2">
      <c r="A941" s="408" t="s">
        <v>964</v>
      </c>
      <c r="B941" s="409"/>
      <c r="C941" s="409"/>
      <c r="D941" s="410"/>
      <c r="E941" s="375">
        <v>34223</v>
      </c>
      <c r="F941" s="375"/>
      <c r="G941" s="376"/>
      <c r="H941" s="376"/>
      <c r="I941" s="376"/>
      <c r="J941" s="376"/>
    </row>
    <row r="942" spans="1:10" x14ac:dyDescent="0.2">
      <c r="A942" s="408"/>
      <c r="B942" s="409"/>
      <c r="C942" s="409"/>
      <c r="D942" s="410"/>
      <c r="E942" s="375"/>
      <c r="F942" s="375"/>
      <c r="G942" s="376"/>
      <c r="H942" s="376"/>
      <c r="I942" s="376"/>
      <c r="J942" s="376"/>
    </row>
    <row r="943" spans="1:10" x14ac:dyDescent="0.2">
      <c r="A943" s="411" t="s">
        <v>534</v>
      </c>
      <c r="B943" s="412"/>
      <c r="C943" s="412"/>
      <c r="D943" s="413"/>
      <c r="E943" s="414">
        <f>SUM(E933:E942)</f>
        <v>4602551</v>
      </c>
      <c r="F943" s="414"/>
      <c r="G943" s="414">
        <f>SUM(G933:G942)</f>
        <v>0</v>
      </c>
      <c r="H943" s="414"/>
      <c r="I943" s="414">
        <f>SUM(I933:I942)</f>
        <v>0</v>
      </c>
      <c r="J943" s="414"/>
    </row>
    <row r="944" spans="1:10" x14ac:dyDescent="0.2">
      <c r="A944" s="415" t="s">
        <v>860</v>
      </c>
      <c r="B944" s="416"/>
      <c r="C944" s="416"/>
      <c r="D944" s="416"/>
      <c r="E944" s="416"/>
      <c r="F944" s="416"/>
      <c r="G944" s="416"/>
      <c r="H944" s="416"/>
      <c r="I944" s="416"/>
      <c r="J944" s="417"/>
    </row>
    <row r="945" spans="1:10" x14ac:dyDescent="0.2">
      <c r="A945" s="358" t="s">
        <v>861</v>
      </c>
      <c r="B945" s="359"/>
      <c r="C945" s="359"/>
      <c r="D945" s="359"/>
      <c r="E945" s="359"/>
      <c r="F945" s="359"/>
      <c r="G945" s="359"/>
      <c r="H945" s="359"/>
      <c r="I945" s="359"/>
      <c r="J945" s="360"/>
    </row>
    <row r="946" spans="1:10" x14ac:dyDescent="0.2">
      <c r="A946" s="358" t="s">
        <v>862</v>
      </c>
      <c r="B946" s="359"/>
      <c r="C946" s="359"/>
      <c r="D946" s="359"/>
      <c r="E946" s="359"/>
      <c r="F946" s="359"/>
      <c r="G946" s="359"/>
      <c r="H946" s="359"/>
      <c r="I946" s="359"/>
      <c r="J946" s="360"/>
    </row>
    <row r="947" spans="1:10" x14ac:dyDescent="0.2">
      <c r="A947" s="361" t="s">
        <v>863</v>
      </c>
      <c r="B947" s="362"/>
      <c r="C947" s="362"/>
      <c r="D947" s="362"/>
      <c r="E947" s="362"/>
      <c r="F947" s="362"/>
      <c r="G947" s="362"/>
      <c r="H947" s="362"/>
      <c r="I947" s="362"/>
      <c r="J947" s="363"/>
    </row>
    <row r="948" spans="1:10" x14ac:dyDescent="0.2">
      <c r="A948" s="233" t="s">
        <v>959</v>
      </c>
      <c r="B948" s="364"/>
      <c r="C948" s="364"/>
      <c r="D948" s="364"/>
      <c r="E948" s="364"/>
      <c r="F948" s="364"/>
      <c r="G948" s="364"/>
      <c r="H948" s="364"/>
      <c r="I948" s="364"/>
      <c r="J948" s="365"/>
    </row>
    <row r="949" spans="1:10" x14ac:dyDescent="0.2">
      <c r="A949" s="366"/>
      <c r="B949" s="367"/>
      <c r="C949" s="367"/>
      <c r="D949" s="367"/>
      <c r="E949" s="367"/>
      <c r="F949" s="367"/>
      <c r="G949" s="367"/>
      <c r="H949" s="367"/>
      <c r="I949" s="367"/>
      <c r="J949" s="368"/>
    </row>
    <row r="950" spans="1:10" x14ac:dyDescent="0.2">
      <c r="A950" s="366"/>
      <c r="B950" s="367"/>
      <c r="C950" s="367"/>
      <c r="D950" s="367"/>
      <c r="E950" s="367"/>
      <c r="F950" s="367"/>
      <c r="G950" s="367"/>
      <c r="H950" s="367"/>
      <c r="I950" s="367"/>
      <c r="J950" s="368"/>
    </row>
    <row r="951" spans="1:10" x14ac:dyDescent="0.2">
      <c r="A951" s="366"/>
      <c r="B951" s="367"/>
      <c r="C951" s="367"/>
      <c r="D951" s="367"/>
      <c r="E951" s="367"/>
      <c r="F951" s="367"/>
      <c r="G951" s="367"/>
      <c r="H951" s="367"/>
      <c r="I951" s="367"/>
      <c r="J951" s="368"/>
    </row>
    <row r="952" spans="1:10" x14ac:dyDescent="0.2">
      <c r="A952" s="366"/>
      <c r="B952" s="367"/>
      <c r="C952" s="367"/>
      <c r="D952" s="367"/>
      <c r="E952" s="367"/>
      <c r="F952" s="367"/>
      <c r="G952" s="367"/>
      <c r="H952" s="367"/>
      <c r="I952" s="367"/>
      <c r="J952" s="368"/>
    </row>
    <row r="953" spans="1:10" x14ac:dyDescent="0.2">
      <c r="A953" s="366"/>
      <c r="B953" s="367"/>
      <c r="C953" s="367"/>
      <c r="D953" s="367"/>
      <c r="E953" s="367"/>
      <c r="F953" s="367"/>
      <c r="G953" s="367"/>
      <c r="H953" s="367"/>
      <c r="I953" s="367"/>
      <c r="J953" s="368"/>
    </row>
    <row r="954" spans="1:10" x14ac:dyDescent="0.2">
      <c r="A954" s="366"/>
      <c r="B954" s="367"/>
      <c r="C954" s="367"/>
      <c r="D954" s="367"/>
      <c r="E954" s="367"/>
      <c r="F954" s="367"/>
      <c r="G954" s="367"/>
      <c r="H954" s="367"/>
      <c r="I954" s="367"/>
      <c r="J954" s="368"/>
    </row>
    <row r="955" spans="1:10" x14ac:dyDescent="0.2">
      <c r="A955" s="366"/>
      <c r="B955" s="367"/>
      <c r="C955" s="367"/>
      <c r="D955" s="367"/>
      <c r="E955" s="367"/>
      <c r="F955" s="367"/>
      <c r="G955" s="367"/>
      <c r="H955" s="367"/>
      <c r="I955" s="367"/>
      <c r="J955" s="368"/>
    </row>
    <row r="956" spans="1:10" x14ac:dyDescent="0.2">
      <c r="A956" s="366"/>
      <c r="B956" s="367"/>
      <c r="C956" s="367"/>
      <c r="D956" s="367"/>
      <c r="E956" s="367"/>
      <c r="F956" s="367"/>
      <c r="G956" s="367"/>
      <c r="H956" s="367"/>
      <c r="I956" s="367"/>
      <c r="J956" s="368"/>
    </row>
    <row r="957" spans="1:10" x14ac:dyDescent="0.2">
      <c r="A957" s="366"/>
      <c r="B957" s="367"/>
      <c r="C957" s="367"/>
      <c r="D957" s="367"/>
      <c r="E957" s="367"/>
      <c r="F957" s="367"/>
      <c r="G957" s="367"/>
      <c r="H957" s="367"/>
      <c r="I957" s="367"/>
      <c r="J957" s="368"/>
    </row>
    <row r="958" spans="1:10" x14ac:dyDescent="0.2">
      <c r="A958" s="366"/>
      <c r="B958" s="367"/>
      <c r="C958" s="367"/>
      <c r="D958" s="367"/>
      <c r="E958" s="367"/>
      <c r="F958" s="367"/>
      <c r="G958" s="367"/>
      <c r="H958" s="367"/>
      <c r="I958" s="367"/>
      <c r="J958" s="368"/>
    </row>
    <row r="959" spans="1:10" x14ac:dyDescent="0.2">
      <c r="A959" s="366"/>
      <c r="B959" s="367"/>
      <c r="C959" s="367"/>
      <c r="D959" s="367"/>
      <c r="E959" s="367"/>
      <c r="F959" s="367"/>
      <c r="G959" s="367"/>
      <c r="H959" s="367"/>
      <c r="I959" s="367"/>
      <c r="J959" s="368"/>
    </row>
    <row r="960" spans="1:10" x14ac:dyDescent="0.2">
      <c r="A960" s="366"/>
      <c r="B960" s="367"/>
      <c r="C960" s="367"/>
      <c r="D960" s="367"/>
      <c r="E960" s="367"/>
      <c r="F960" s="367"/>
      <c r="G960" s="367"/>
      <c r="H960" s="367"/>
      <c r="I960" s="367"/>
      <c r="J960" s="368"/>
    </row>
    <row r="961" spans="1:10" x14ac:dyDescent="0.2">
      <c r="A961" s="366"/>
      <c r="B961" s="367"/>
      <c r="C961" s="367"/>
      <c r="D961" s="367"/>
      <c r="E961" s="367"/>
      <c r="F961" s="367"/>
      <c r="G961" s="367"/>
      <c r="H961" s="367"/>
      <c r="I961" s="367"/>
      <c r="J961" s="368"/>
    </row>
    <row r="962" spans="1:10" x14ac:dyDescent="0.2">
      <c r="A962" s="366"/>
      <c r="B962" s="367"/>
      <c r="C962" s="367"/>
      <c r="D962" s="367"/>
      <c r="E962" s="367"/>
      <c r="F962" s="367"/>
      <c r="G962" s="367"/>
      <c r="H962" s="367"/>
      <c r="I962" s="367"/>
      <c r="J962" s="368"/>
    </row>
    <row r="963" spans="1:10" x14ac:dyDescent="0.2">
      <c r="A963" s="366"/>
      <c r="B963" s="367"/>
      <c r="C963" s="367"/>
      <c r="D963" s="367"/>
      <c r="E963" s="367"/>
      <c r="F963" s="367"/>
      <c r="G963" s="367"/>
      <c r="H963" s="367"/>
      <c r="I963" s="367"/>
      <c r="J963" s="368"/>
    </row>
    <row r="964" spans="1:10" x14ac:dyDescent="0.2">
      <c r="A964" s="366"/>
      <c r="B964" s="367"/>
      <c r="C964" s="367"/>
      <c r="D964" s="367"/>
      <c r="E964" s="367"/>
      <c r="F964" s="367"/>
      <c r="G964" s="367"/>
      <c r="H964" s="367"/>
      <c r="I964" s="367"/>
      <c r="J964" s="368"/>
    </row>
    <row r="965" spans="1:10" x14ac:dyDescent="0.2">
      <c r="A965" s="366"/>
      <c r="B965" s="367"/>
      <c r="C965" s="367"/>
      <c r="D965" s="367"/>
      <c r="E965" s="367"/>
      <c r="F965" s="367"/>
      <c r="G965" s="367"/>
      <c r="H965" s="367"/>
      <c r="I965" s="367"/>
      <c r="J965" s="368"/>
    </row>
    <row r="966" spans="1:10" x14ac:dyDescent="0.2">
      <c r="A966" s="366"/>
      <c r="B966" s="367"/>
      <c r="C966" s="367"/>
      <c r="D966" s="367"/>
      <c r="E966" s="367"/>
      <c r="F966" s="367"/>
      <c r="G966" s="367"/>
      <c r="H966" s="367"/>
      <c r="I966" s="367"/>
      <c r="J966" s="368"/>
    </row>
    <row r="967" spans="1:10" x14ac:dyDescent="0.2">
      <c r="A967" s="366"/>
      <c r="B967" s="367"/>
      <c r="C967" s="367"/>
      <c r="D967" s="367"/>
      <c r="E967" s="367"/>
      <c r="F967" s="367"/>
      <c r="G967" s="367"/>
      <c r="H967" s="367"/>
      <c r="I967" s="367"/>
      <c r="J967" s="368"/>
    </row>
    <row r="968" spans="1:10" x14ac:dyDescent="0.2">
      <c r="A968" s="366"/>
      <c r="B968" s="367"/>
      <c r="C968" s="367"/>
      <c r="D968" s="367"/>
      <c r="E968" s="367"/>
      <c r="F968" s="367"/>
      <c r="G968" s="367"/>
      <c r="H968" s="367"/>
      <c r="I968" s="367"/>
      <c r="J968" s="368"/>
    </row>
    <row r="969" spans="1:10" x14ac:dyDescent="0.2">
      <c r="A969" s="366"/>
      <c r="B969" s="367"/>
      <c r="C969" s="367"/>
      <c r="D969" s="367"/>
      <c r="E969" s="367"/>
      <c r="F969" s="367"/>
      <c r="G969" s="367"/>
      <c r="H969" s="367"/>
      <c r="I969" s="367"/>
      <c r="J969" s="368"/>
    </row>
    <row r="970" spans="1:10" x14ac:dyDescent="0.2">
      <c r="A970" s="366"/>
      <c r="B970" s="367"/>
      <c r="C970" s="367"/>
      <c r="D970" s="367"/>
      <c r="E970" s="367"/>
      <c r="F970" s="367"/>
      <c r="G970" s="367"/>
      <c r="H970" s="367"/>
      <c r="I970" s="367"/>
      <c r="J970" s="368"/>
    </row>
    <row r="971" spans="1:10" x14ac:dyDescent="0.2">
      <c r="A971" s="366"/>
      <c r="B971" s="367"/>
      <c r="C971" s="367"/>
      <c r="D971" s="367"/>
      <c r="E971" s="367"/>
      <c r="F971" s="367"/>
      <c r="G971" s="367"/>
      <c r="H971" s="367"/>
      <c r="I971" s="367"/>
      <c r="J971" s="368"/>
    </row>
    <row r="972" spans="1:10" x14ac:dyDescent="0.2">
      <c r="A972" s="366"/>
      <c r="B972" s="367"/>
      <c r="C972" s="367"/>
      <c r="D972" s="367"/>
      <c r="E972" s="367"/>
      <c r="F972" s="367"/>
      <c r="G972" s="367"/>
      <c r="H972" s="367"/>
      <c r="I972" s="367"/>
      <c r="J972" s="368"/>
    </row>
    <row r="973" spans="1:10" x14ac:dyDescent="0.2">
      <c r="A973" s="366"/>
      <c r="B973" s="367"/>
      <c r="C973" s="367"/>
      <c r="D973" s="367"/>
      <c r="E973" s="367"/>
      <c r="F973" s="367"/>
      <c r="G973" s="367"/>
      <c r="H973" s="367"/>
      <c r="I973" s="367"/>
      <c r="J973" s="368"/>
    </row>
    <row r="974" spans="1:10" x14ac:dyDescent="0.2">
      <c r="A974" s="366"/>
      <c r="B974" s="367"/>
      <c r="C974" s="367"/>
      <c r="D974" s="367"/>
      <c r="E974" s="367"/>
      <c r="F974" s="367"/>
      <c r="G974" s="367"/>
      <c r="H974" s="367"/>
      <c r="I974" s="367"/>
      <c r="J974" s="368"/>
    </row>
    <row r="975" spans="1:10" x14ac:dyDescent="0.2">
      <c r="A975" s="366"/>
      <c r="B975" s="367"/>
      <c r="C975" s="367"/>
      <c r="D975" s="367"/>
      <c r="E975" s="367"/>
      <c r="F975" s="367"/>
      <c r="G975" s="367"/>
      <c r="H975" s="367"/>
      <c r="I975" s="367"/>
      <c r="J975" s="368"/>
    </row>
    <row r="976" spans="1:10" x14ac:dyDescent="0.2">
      <c r="A976" s="366"/>
      <c r="B976" s="367"/>
      <c r="C976" s="367"/>
      <c r="D976" s="367"/>
      <c r="E976" s="367"/>
      <c r="F976" s="367"/>
      <c r="G976" s="367"/>
      <c r="H976" s="367"/>
      <c r="I976" s="367"/>
      <c r="J976" s="368"/>
    </row>
    <row r="977" spans="1:10" x14ac:dyDescent="0.2">
      <c r="A977" s="366"/>
      <c r="B977" s="367"/>
      <c r="C977" s="367"/>
      <c r="D977" s="367"/>
      <c r="E977" s="367"/>
      <c r="F977" s="367"/>
      <c r="G977" s="367"/>
      <c r="H977" s="367"/>
      <c r="I977" s="367"/>
      <c r="J977" s="368"/>
    </row>
    <row r="978" spans="1:10" x14ac:dyDescent="0.2">
      <c r="A978" s="366"/>
      <c r="B978" s="367"/>
      <c r="C978" s="367"/>
      <c r="D978" s="367"/>
      <c r="E978" s="367"/>
      <c r="F978" s="367"/>
      <c r="G978" s="367"/>
      <c r="H978" s="367"/>
      <c r="I978" s="367"/>
      <c r="J978" s="368"/>
    </row>
    <row r="979" spans="1:10" x14ac:dyDescent="0.2">
      <c r="A979" s="366"/>
      <c r="B979" s="367"/>
      <c r="C979" s="367"/>
      <c r="D979" s="367"/>
      <c r="E979" s="367"/>
      <c r="F979" s="367"/>
      <c r="G979" s="367"/>
      <c r="H979" s="367"/>
      <c r="I979" s="367"/>
      <c r="J979" s="368"/>
    </row>
    <row r="980" spans="1:10" x14ac:dyDescent="0.2">
      <c r="A980" s="366"/>
      <c r="B980" s="367"/>
      <c r="C980" s="367"/>
      <c r="D980" s="367"/>
      <c r="E980" s="367"/>
      <c r="F980" s="367"/>
      <c r="G980" s="367"/>
      <c r="H980" s="367"/>
      <c r="I980" s="367"/>
      <c r="J980" s="368"/>
    </row>
    <row r="981" spans="1:10" x14ac:dyDescent="0.2">
      <c r="A981" s="366"/>
      <c r="B981" s="367"/>
      <c r="C981" s="367"/>
      <c r="D981" s="367"/>
      <c r="E981" s="367"/>
      <c r="F981" s="367"/>
      <c r="G981" s="367"/>
      <c r="H981" s="367"/>
      <c r="I981" s="367"/>
      <c r="J981" s="368"/>
    </row>
    <row r="982" spans="1:10" x14ac:dyDescent="0.2">
      <c r="A982" s="369"/>
      <c r="B982" s="370"/>
      <c r="C982" s="370"/>
      <c r="D982" s="370"/>
      <c r="E982" s="370"/>
      <c r="F982" s="370"/>
      <c r="G982" s="370"/>
      <c r="H982" s="370"/>
      <c r="I982" s="370"/>
      <c r="J982" s="371"/>
    </row>
  </sheetData>
  <sheetProtection selectLockedCells="1"/>
  <mergeCells count="922">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A591:D591"/>
    <mergeCell ref="E591:F591"/>
    <mergeCell ref="G591:H591"/>
    <mergeCell ref="I591:J591"/>
    <mergeCell ref="I645:J645"/>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592:D592"/>
    <mergeCell ref="E592:F592"/>
    <mergeCell ref="G592:H592"/>
    <mergeCell ref="I592:J592"/>
    <mergeCell ref="A593:D593"/>
    <mergeCell ref="E593:F593"/>
    <mergeCell ref="G593:H593"/>
    <mergeCell ref="I593:J593"/>
    <mergeCell ref="E587:F587"/>
    <mergeCell ref="G587:H587"/>
    <mergeCell ref="I587:J587"/>
    <mergeCell ref="A588:D588"/>
    <mergeCell ref="E588:F588"/>
    <mergeCell ref="G588:H588"/>
    <mergeCell ref="I588:J588"/>
    <mergeCell ref="A587:D587"/>
    <mergeCell ref="A589:D589"/>
    <mergeCell ref="E589:F589"/>
    <mergeCell ref="G589:H589"/>
    <mergeCell ref="I589:J589"/>
    <mergeCell ref="A590:D590"/>
    <mergeCell ref="E590:F590"/>
    <mergeCell ref="G590:H590"/>
    <mergeCell ref="I590:J590"/>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A299:D299"/>
    <mergeCell ref="E299:F299"/>
    <mergeCell ref="G299:H299"/>
    <mergeCell ref="I299:J299"/>
    <mergeCell ref="E353:F353"/>
    <mergeCell ref="G353:H353"/>
    <mergeCell ref="I353:J353"/>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0:D300"/>
    <mergeCell ref="E300:F300"/>
    <mergeCell ref="G300:H300"/>
    <mergeCell ref="I300:J300"/>
    <mergeCell ref="A301:D301"/>
    <mergeCell ref="E301:F301"/>
    <mergeCell ref="G301:H301"/>
    <mergeCell ref="I301:J301"/>
    <mergeCell ref="A250:J250"/>
    <mergeCell ref="A296:D296"/>
    <mergeCell ref="E296:F296"/>
    <mergeCell ref="G296:H296"/>
    <mergeCell ref="I296:J296"/>
    <mergeCell ref="A297:D297"/>
    <mergeCell ref="E297:F297"/>
    <mergeCell ref="G297:H297"/>
    <mergeCell ref="I297:J297"/>
    <mergeCell ref="A298:D298"/>
    <mergeCell ref="E298:F298"/>
    <mergeCell ref="G298:H298"/>
    <mergeCell ref="I298:J298"/>
    <mergeCell ref="E294:F294"/>
    <mergeCell ref="G294:H294"/>
    <mergeCell ref="I294:J294"/>
    <mergeCell ref="A244:D244"/>
    <mergeCell ref="E244:F244"/>
    <mergeCell ref="G244:H244"/>
    <mergeCell ref="A295:D295"/>
    <mergeCell ref="E295:F295"/>
    <mergeCell ref="G295:H295"/>
    <mergeCell ref="I295:J295"/>
    <mergeCell ref="A293:D293"/>
    <mergeCell ref="E293:J293"/>
    <mergeCell ref="A251:J251"/>
    <mergeCell ref="A252:J285"/>
    <mergeCell ref="A288:G288"/>
    <mergeCell ref="H288:J288"/>
    <mergeCell ref="I244:J244"/>
    <mergeCell ref="E247:F247"/>
    <mergeCell ref="G247:H247"/>
    <mergeCell ref="I247:J247"/>
    <mergeCell ref="A248:J248"/>
    <mergeCell ref="A249:J249"/>
    <mergeCell ref="I245:J245"/>
    <mergeCell ref="A245:D245"/>
    <mergeCell ref="A246:D246"/>
    <mergeCell ref="E245:F245"/>
    <mergeCell ref="G134:H134"/>
    <mergeCell ref="I133:J133"/>
    <mergeCell ref="A132:D132"/>
    <mergeCell ref="I140:J140"/>
    <mergeCell ref="G142:H142"/>
    <mergeCell ref="A238:D238"/>
    <mergeCell ref="E238:F238"/>
    <mergeCell ref="A199:J232"/>
    <mergeCell ref="A235:D235"/>
    <mergeCell ref="A234:D234"/>
    <mergeCell ref="E236:F236"/>
    <mergeCell ref="G236:H236"/>
    <mergeCell ref="I236:J236"/>
    <mergeCell ref="A237:D237"/>
    <mergeCell ref="E237:F237"/>
    <mergeCell ref="G237:H237"/>
    <mergeCell ref="I237:J237"/>
    <mergeCell ref="A190:D190"/>
    <mergeCell ref="E190:F190"/>
    <mergeCell ref="A195:J195"/>
    <mergeCell ref="A196:J196"/>
    <mergeCell ref="A191:D191"/>
    <mergeCell ref="E191:F191"/>
    <mergeCell ref="G191:H191"/>
    <mergeCell ref="G243:H243"/>
    <mergeCell ref="I243:J243"/>
    <mergeCell ref="A240:D240"/>
    <mergeCell ref="E240:F240"/>
    <mergeCell ref="A241:D241"/>
    <mergeCell ref="E241:F241"/>
    <mergeCell ref="G241:H241"/>
    <mergeCell ref="I241:J241"/>
    <mergeCell ref="E239:F239"/>
    <mergeCell ref="G242:H242"/>
    <mergeCell ref="I242:J242"/>
    <mergeCell ref="E243:F243"/>
    <mergeCell ref="G240:H240"/>
    <mergeCell ref="I240:J240"/>
    <mergeCell ref="A239:D239"/>
    <mergeCell ref="A242:D242"/>
    <mergeCell ref="E242:F242"/>
    <mergeCell ref="G239:H239"/>
    <mergeCell ref="I239:J239"/>
    <mergeCell ref="A472:D472"/>
    <mergeCell ref="E472:F472"/>
    <mergeCell ref="G472:H472"/>
    <mergeCell ref="I472:J472"/>
    <mergeCell ref="G238:H238"/>
    <mergeCell ref="I238:J238"/>
    <mergeCell ref="A470:D470"/>
    <mergeCell ref="A247:D247"/>
    <mergeCell ref="A290:J290"/>
    <mergeCell ref="A471:D471"/>
    <mergeCell ref="E471:F471"/>
    <mergeCell ref="G471:H471"/>
    <mergeCell ref="I471:J471"/>
    <mergeCell ref="A291:D291"/>
    <mergeCell ref="E291:J292"/>
    <mergeCell ref="A292:D292"/>
    <mergeCell ref="G245:H245"/>
    <mergeCell ref="E470:F470"/>
    <mergeCell ref="G470:H470"/>
    <mergeCell ref="I470:J470"/>
    <mergeCell ref="E246:F246"/>
    <mergeCell ref="G246:H246"/>
    <mergeCell ref="I246:J246"/>
    <mergeCell ref="A243:D243"/>
    <mergeCell ref="I190:J190"/>
    <mergeCell ref="E188:F188"/>
    <mergeCell ref="G190:H190"/>
    <mergeCell ref="I191:J191"/>
    <mergeCell ref="G194:H194"/>
    <mergeCell ref="A192:D192"/>
    <mergeCell ref="E192:F192"/>
    <mergeCell ref="G192:H192"/>
    <mergeCell ref="I192:J192"/>
    <mergeCell ref="E193:F193"/>
    <mergeCell ref="G193:H193"/>
    <mergeCell ref="I193:J193"/>
    <mergeCell ref="A194:D194"/>
    <mergeCell ref="A193:D193"/>
    <mergeCell ref="E189:F189"/>
    <mergeCell ref="A198:J198"/>
    <mergeCell ref="A233:D233"/>
    <mergeCell ref="E233:J234"/>
    <mergeCell ref="E235:J235"/>
    <mergeCell ref="A197:J197"/>
    <mergeCell ref="E194:F194"/>
    <mergeCell ref="I194:J194"/>
    <mergeCell ref="E140:F140"/>
    <mergeCell ref="E183:F183"/>
    <mergeCell ref="I189:J189"/>
    <mergeCell ref="G188:H188"/>
    <mergeCell ref="I142:J142"/>
    <mergeCell ref="A182:D182"/>
    <mergeCell ref="G183:H183"/>
    <mergeCell ref="I183:J183"/>
    <mergeCell ref="E185:F185"/>
    <mergeCell ref="G185:H185"/>
    <mergeCell ref="A180:D180"/>
    <mergeCell ref="A179:J179"/>
    <mergeCell ref="A147:J174"/>
    <mergeCell ref="A142:D142"/>
    <mergeCell ref="E142:F142"/>
    <mergeCell ref="A185:D185"/>
    <mergeCell ref="A189:D189"/>
    <mergeCell ref="H41:J41"/>
    <mergeCell ref="B77:I79"/>
    <mergeCell ref="B81:I84"/>
    <mergeCell ref="B86:I88"/>
    <mergeCell ref="B90:I91"/>
    <mergeCell ref="G139:H139"/>
    <mergeCell ref="I138:J138"/>
    <mergeCell ref="A143:J143"/>
    <mergeCell ref="A144:J144"/>
    <mergeCell ref="E141:F141"/>
    <mergeCell ref="G141:H141"/>
    <mergeCell ref="A57:K58"/>
    <mergeCell ref="A107:K107"/>
    <mergeCell ref="I132:J132"/>
    <mergeCell ref="G131:H131"/>
    <mergeCell ref="I137:J137"/>
    <mergeCell ref="G135:H135"/>
    <mergeCell ref="G133:H133"/>
    <mergeCell ref="I135:J135"/>
    <mergeCell ref="I134:J134"/>
    <mergeCell ref="A138:D138"/>
    <mergeCell ref="A137:D137"/>
    <mergeCell ref="A127:J127"/>
    <mergeCell ref="E131:F131"/>
    <mergeCell ref="A133:D133"/>
    <mergeCell ref="A47:J56"/>
    <mergeCell ref="A129:D129"/>
    <mergeCell ref="A135:D135"/>
    <mergeCell ref="E128:J129"/>
    <mergeCell ref="I188:J188"/>
    <mergeCell ref="I185:J185"/>
    <mergeCell ref="A186:D186"/>
    <mergeCell ref="A187:D187"/>
    <mergeCell ref="I186:J186"/>
    <mergeCell ref="G186:H186"/>
    <mergeCell ref="A188:D188"/>
    <mergeCell ref="E182:J182"/>
    <mergeCell ref="A181:D181"/>
    <mergeCell ref="A184:D184"/>
    <mergeCell ref="E184:F184"/>
    <mergeCell ref="G184:H184"/>
    <mergeCell ref="I184:J184"/>
    <mergeCell ref="E180:J181"/>
    <mergeCell ref="E132:F132"/>
    <mergeCell ref="I131:J131"/>
    <mergeCell ref="A136:D136"/>
    <mergeCell ref="A134:D134"/>
    <mergeCell ref="E136:F136"/>
    <mergeCell ref="A145:J145"/>
    <mergeCell ref="A146:J146"/>
    <mergeCell ref="A13:J13"/>
    <mergeCell ref="C14:E14"/>
    <mergeCell ref="A9:J11"/>
    <mergeCell ref="H20:J20"/>
    <mergeCell ref="A139:D139"/>
    <mergeCell ref="A140:D140"/>
    <mergeCell ref="G140:H140"/>
    <mergeCell ref="A141:D141"/>
    <mergeCell ref="G136:H136"/>
    <mergeCell ref="I136:J136"/>
    <mergeCell ref="A103:J105"/>
    <mergeCell ref="E133:F133"/>
    <mergeCell ref="E135:F135"/>
    <mergeCell ref="E134:F134"/>
    <mergeCell ref="E137:F137"/>
    <mergeCell ref="B67:I69"/>
    <mergeCell ref="B71:I75"/>
    <mergeCell ref="G138:H138"/>
    <mergeCell ref="E138:F138"/>
    <mergeCell ref="E130:J130"/>
    <mergeCell ref="A128:D128"/>
    <mergeCell ref="A130:D130"/>
    <mergeCell ref="E186:F186"/>
    <mergeCell ref="E187:F187"/>
    <mergeCell ref="G187:H187"/>
    <mergeCell ref="G189:H189"/>
    <mergeCell ref="I187:J187"/>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3:J7"/>
    <mergeCell ref="A535:D535"/>
    <mergeCell ref="E535:F535"/>
    <mergeCell ref="G535:H535"/>
    <mergeCell ref="I535:J535"/>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I533:J533"/>
    <mergeCell ref="A534:D534"/>
    <mergeCell ref="E534:F534"/>
    <mergeCell ref="G534:H534"/>
    <mergeCell ref="I534:J534"/>
    <mergeCell ref="A536:D536"/>
    <mergeCell ref="E536:F536"/>
    <mergeCell ref="G536:H536"/>
    <mergeCell ref="I536:J536"/>
    <mergeCell ref="A537:D537"/>
    <mergeCell ref="E537:F537"/>
    <mergeCell ref="G537:H537"/>
    <mergeCell ref="I537:J537"/>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78:G578"/>
    <mergeCell ref="H578:J578"/>
    <mergeCell ref="A585:D585"/>
    <mergeCell ref="E585:F585"/>
    <mergeCell ref="G585:H585"/>
    <mergeCell ref="I585:J585"/>
    <mergeCell ref="A580:J580"/>
    <mergeCell ref="A581:D581"/>
    <mergeCell ref="E581:J582"/>
    <mergeCell ref="A582:D582"/>
    <mergeCell ref="A583:D583"/>
    <mergeCell ref="E583:J583"/>
  </mergeCells>
  <phoneticPr fontId="2" type="noConversion"/>
  <dataValidations xWindow="1175" yWindow="450" count="13">
    <dataValidation allowBlank="1" showInputMessage="1" showErrorMessage="1" error="Entries not permitted in this cell." prompt="Leave cell blank." sqref="E138:J138 E190:J190 E243:J243 E301:J301 E939:J939 E359:J359 E417:J417 E475:J475 E533:J533 E591:J591 E649:J649 E707:J707 E765:J765 E823:J823 E881:J881" xr:uid="{00000000-0002-0000-0500-000000000000}"/>
    <dataValidation type="whole" allowBlank="1" showInputMessage="1" showErrorMessage="1" error="Must enter amount in whole dollars." sqref="E940:F942 E139:F141 E132:J137 E191:F193 E237:J242 E244:F246 E184:J189 E302:F304 E875:J880 E933:J938 E418:F420 E360:F362 E476:F478 E411:J416 E353:J358 E469:J474 E592:F594 E534:F536 E650:F652 E585:J590 E708:F710 E643:J648 E766:F768 E701:J706 E824:F826 E759:J764 E882:F884 E817:J822 E527:J532 E295:J300"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882:D884 A360:D362 A418:D420 A476:D478 A534:D536 A592:D594 A650:D652 A708:D710 A766:D768 A824:D826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EC50BB32-2063-4152-80C4-75F81628B63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621932E7-F187-47E4-9B97-8F110177D2F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310:J344 A890:J924 A252:J285 A484:J518 A600:J634 A832:J866 A948:J982 A368:J402 A426:J460 A542:J576 A658:J692 A199:J23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8EB77991-6271-45FD-AA44-11092022DC15}"/>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A668" sqref="A668:D668"/>
    </sheetView>
  </sheetViews>
  <sheetFormatPr defaultColWidth="8.85546875" defaultRowHeight="12.75" x14ac:dyDescent="0.2"/>
  <sheetData>
    <row r="1" spans="1:10" ht="15.75" x14ac:dyDescent="0.25">
      <c r="A1" s="280" t="s">
        <v>847</v>
      </c>
      <c r="B1" s="281"/>
      <c r="C1" s="281"/>
      <c r="D1" s="281"/>
      <c r="E1" s="281"/>
      <c r="F1" s="281"/>
      <c r="G1" s="281"/>
      <c r="H1" s="278" t="str">
        <f>'CONTACT INFORMATION'!$A$24</f>
        <v>Los Angeles</v>
      </c>
      <c r="I1" s="278"/>
      <c r="J1" s="279"/>
    </row>
    <row r="2" spans="1:10" x14ac:dyDescent="0.2">
      <c r="A2" s="124"/>
      <c r="B2" s="124"/>
      <c r="C2" s="124"/>
      <c r="D2" s="124"/>
      <c r="E2" s="124"/>
      <c r="F2" s="124"/>
      <c r="G2" s="124"/>
      <c r="H2" s="124"/>
      <c r="I2" s="124"/>
      <c r="J2" s="124"/>
    </row>
    <row r="3" spans="1:10" ht="15" x14ac:dyDescent="0.25">
      <c r="A3" s="387" t="s">
        <v>877</v>
      </c>
      <c r="B3" s="388"/>
      <c r="C3" s="388"/>
      <c r="D3" s="388"/>
      <c r="E3" s="388"/>
      <c r="F3" s="388"/>
      <c r="G3" s="388"/>
      <c r="H3" s="388"/>
      <c r="I3" s="388"/>
      <c r="J3" s="389"/>
    </row>
    <row r="4" spans="1:10" x14ac:dyDescent="0.2">
      <c r="A4" s="390" t="s">
        <v>853</v>
      </c>
      <c r="B4" s="391"/>
      <c r="C4" s="391"/>
      <c r="D4" s="392"/>
      <c r="E4" s="393" t="s">
        <v>949</v>
      </c>
      <c r="F4" s="394"/>
      <c r="G4" s="394"/>
      <c r="H4" s="394"/>
      <c r="I4" s="394"/>
      <c r="J4" s="395"/>
    </row>
    <row r="5" spans="1:10" x14ac:dyDescent="0.2">
      <c r="A5" s="399" t="s">
        <v>852</v>
      </c>
      <c r="B5" s="400"/>
      <c r="C5" s="400"/>
      <c r="D5" s="401"/>
      <c r="E5" s="396"/>
      <c r="F5" s="397"/>
      <c r="G5" s="397"/>
      <c r="H5" s="397"/>
      <c r="I5" s="397"/>
      <c r="J5" s="398"/>
    </row>
    <row r="6" spans="1:10" x14ac:dyDescent="0.2">
      <c r="A6" s="402" t="s">
        <v>808</v>
      </c>
      <c r="B6" s="403"/>
      <c r="C6" s="403"/>
      <c r="D6" s="404"/>
      <c r="E6" s="198"/>
      <c r="F6" s="471"/>
      <c r="G6" s="471"/>
      <c r="H6" s="471"/>
      <c r="I6" s="471"/>
      <c r="J6" s="472"/>
    </row>
    <row r="7" spans="1:10" x14ac:dyDescent="0.2">
      <c r="A7" s="118"/>
      <c r="B7" s="158"/>
      <c r="C7" s="158"/>
      <c r="D7" s="158"/>
      <c r="E7" s="378" t="s">
        <v>535</v>
      </c>
      <c r="F7" s="379"/>
      <c r="G7" s="378" t="s">
        <v>533</v>
      </c>
      <c r="H7" s="379"/>
      <c r="I7" s="380" t="s">
        <v>848</v>
      </c>
      <c r="J7" s="381"/>
    </row>
    <row r="8" spans="1:10" x14ac:dyDescent="0.2">
      <c r="A8" s="382" t="s">
        <v>527</v>
      </c>
      <c r="B8" s="383"/>
      <c r="C8" s="383"/>
      <c r="D8" s="384"/>
      <c r="E8" s="458"/>
      <c r="F8" s="459"/>
      <c r="G8" s="385"/>
      <c r="H8" s="385"/>
      <c r="I8" s="386"/>
      <c r="J8" s="386"/>
    </row>
    <row r="9" spans="1:10" x14ac:dyDescent="0.2">
      <c r="A9" s="372" t="s">
        <v>528</v>
      </c>
      <c r="B9" s="373"/>
      <c r="C9" s="373"/>
      <c r="D9" s="374"/>
      <c r="E9" s="473"/>
      <c r="F9" s="474"/>
      <c r="G9" s="376"/>
      <c r="H9" s="376"/>
      <c r="I9" s="377"/>
      <c r="J9" s="377"/>
    </row>
    <row r="10" spans="1:10" x14ac:dyDescent="0.2">
      <c r="A10" s="382" t="s">
        <v>529</v>
      </c>
      <c r="B10" s="383"/>
      <c r="C10" s="383"/>
      <c r="D10" s="384"/>
      <c r="E10" s="458">
        <v>93</v>
      </c>
      <c r="F10" s="459"/>
      <c r="G10" s="385"/>
      <c r="H10" s="385"/>
      <c r="I10" s="386"/>
      <c r="J10" s="386"/>
    </row>
    <row r="11" spans="1:10" x14ac:dyDescent="0.2">
      <c r="A11" s="372" t="s">
        <v>530</v>
      </c>
      <c r="B11" s="373"/>
      <c r="C11" s="373"/>
      <c r="D11" s="374"/>
      <c r="E11" s="473">
        <v>5730</v>
      </c>
      <c r="F11" s="474"/>
      <c r="G11" s="376"/>
      <c r="H11" s="376"/>
      <c r="I11" s="377"/>
      <c r="J11" s="377"/>
    </row>
    <row r="12" spans="1:10" x14ac:dyDescent="0.2">
      <c r="A12" s="382" t="s">
        <v>531</v>
      </c>
      <c r="B12" s="383"/>
      <c r="C12" s="383"/>
      <c r="D12" s="384"/>
      <c r="E12" s="458"/>
      <c r="F12" s="459"/>
      <c r="G12" s="385"/>
      <c r="H12" s="385"/>
      <c r="I12" s="386"/>
      <c r="J12" s="386"/>
    </row>
    <row r="13" spans="1:10" x14ac:dyDescent="0.2">
      <c r="A13" s="372" t="s">
        <v>532</v>
      </c>
      <c r="B13" s="373"/>
      <c r="C13" s="373"/>
      <c r="D13" s="374"/>
      <c r="E13" s="473">
        <v>27</v>
      </c>
      <c r="F13" s="474"/>
      <c r="G13" s="376"/>
      <c r="H13" s="376"/>
      <c r="I13" s="377"/>
      <c r="J13" s="377"/>
    </row>
    <row r="14" spans="1:10" x14ac:dyDescent="0.2">
      <c r="A14" s="382" t="s">
        <v>537</v>
      </c>
      <c r="B14" s="383"/>
      <c r="C14" s="383"/>
      <c r="D14" s="384"/>
      <c r="E14" s="418"/>
      <c r="F14" s="418"/>
      <c r="G14" s="418"/>
      <c r="H14" s="418"/>
      <c r="I14" s="419"/>
      <c r="J14" s="419"/>
    </row>
    <row r="15" spans="1:10" x14ac:dyDescent="0.2">
      <c r="A15" s="408" t="s">
        <v>964</v>
      </c>
      <c r="B15" s="409"/>
      <c r="C15" s="409"/>
      <c r="D15" s="410"/>
      <c r="E15" s="473">
        <v>44</v>
      </c>
      <c r="F15" s="474"/>
      <c r="G15" s="376"/>
      <c r="H15" s="376"/>
      <c r="I15" s="376"/>
      <c r="J15" s="376"/>
    </row>
    <row r="16" spans="1:10" x14ac:dyDescent="0.2">
      <c r="A16" s="408"/>
      <c r="B16" s="409"/>
      <c r="C16" s="409"/>
      <c r="D16" s="410"/>
      <c r="E16" s="473"/>
      <c r="F16" s="474"/>
      <c r="G16" s="376"/>
      <c r="H16" s="376"/>
      <c r="I16" s="376"/>
      <c r="J16" s="376"/>
    </row>
    <row r="17" spans="1:10" x14ac:dyDescent="0.2">
      <c r="A17" s="408"/>
      <c r="B17" s="409"/>
      <c r="C17" s="409"/>
      <c r="D17" s="410"/>
      <c r="E17" s="375"/>
      <c r="F17" s="375"/>
      <c r="G17" s="376"/>
      <c r="H17" s="376"/>
      <c r="I17" s="376"/>
      <c r="J17" s="376"/>
    </row>
    <row r="18" spans="1:10" x14ac:dyDescent="0.2">
      <c r="A18" s="411" t="s">
        <v>534</v>
      </c>
      <c r="B18" s="412"/>
      <c r="C18" s="412"/>
      <c r="D18" s="413"/>
      <c r="E18" s="414">
        <f>SUM(E8:E17)</f>
        <v>5894</v>
      </c>
      <c r="F18" s="414"/>
      <c r="G18" s="414">
        <f>SUM(G8:G17)</f>
        <v>0</v>
      </c>
      <c r="H18" s="414"/>
      <c r="I18" s="414">
        <f>SUM(I8:I17)</f>
        <v>0</v>
      </c>
      <c r="J18" s="414"/>
    </row>
    <row r="19" spans="1:10" x14ac:dyDescent="0.2">
      <c r="A19" s="415" t="s">
        <v>860</v>
      </c>
      <c r="B19" s="416"/>
      <c r="C19" s="416"/>
      <c r="D19" s="416"/>
      <c r="E19" s="416"/>
      <c r="F19" s="416"/>
      <c r="G19" s="416"/>
      <c r="H19" s="416"/>
      <c r="I19" s="416"/>
      <c r="J19" s="417"/>
    </row>
    <row r="20" spans="1:10" x14ac:dyDescent="0.2">
      <c r="A20" s="358" t="s">
        <v>861</v>
      </c>
      <c r="B20" s="359"/>
      <c r="C20" s="359"/>
      <c r="D20" s="359"/>
      <c r="E20" s="359"/>
      <c r="F20" s="359"/>
      <c r="G20" s="359"/>
      <c r="H20" s="359"/>
      <c r="I20" s="359"/>
      <c r="J20" s="360"/>
    </row>
    <row r="21" spans="1:10" x14ac:dyDescent="0.2">
      <c r="A21" s="358" t="s">
        <v>862</v>
      </c>
      <c r="B21" s="359"/>
      <c r="C21" s="359"/>
      <c r="D21" s="359"/>
      <c r="E21" s="359"/>
      <c r="F21" s="359"/>
      <c r="G21" s="359"/>
      <c r="H21" s="359"/>
      <c r="I21" s="359"/>
      <c r="J21" s="360"/>
    </row>
    <row r="22" spans="1:10" x14ac:dyDescent="0.2">
      <c r="A22" s="361" t="s">
        <v>863</v>
      </c>
      <c r="B22" s="362"/>
      <c r="C22" s="362"/>
      <c r="D22" s="362"/>
      <c r="E22" s="362"/>
      <c r="F22" s="362"/>
      <c r="G22" s="362"/>
      <c r="H22" s="362"/>
      <c r="I22" s="362"/>
      <c r="J22" s="363"/>
    </row>
    <row r="23" spans="1:10" x14ac:dyDescent="0.2">
      <c r="A23" s="233" t="s">
        <v>986</v>
      </c>
      <c r="B23" s="364"/>
      <c r="C23" s="364"/>
      <c r="D23" s="364"/>
      <c r="E23" s="364"/>
      <c r="F23" s="364"/>
      <c r="G23" s="364"/>
      <c r="H23" s="364"/>
      <c r="I23" s="364"/>
      <c r="J23" s="365"/>
    </row>
    <row r="24" spans="1:10" x14ac:dyDescent="0.2">
      <c r="A24" s="366"/>
      <c r="B24" s="367"/>
      <c r="C24" s="367"/>
      <c r="D24" s="367"/>
      <c r="E24" s="367"/>
      <c r="F24" s="367"/>
      <c r="G24" s="367"/>
      <c r="H24" s="367"/>
      <c r="I24" s="367"/>
      <c r="J24" s="368"/>
    </row>
    <row r="25" spans="1:10" x14ac:dyDescent="0.2">
      <c r="A25" s="366"/>
      <c r="B25" s="367"/>
      <c r="C25" s="367"/>
      <c r="D25" s="367"/>
      <c r="E25" s="367"/>
      <c r="F25" s="367"/>
      <c r="G25" s="367"/>
      <c r="H25" s="367"/>
      <c r="I25" s="367"/>
      <c r="J25" s="368"/>
    </row>
    <row r="26" spans="1:10" x14ac:dyDescent="0.2">
      <c r="A26" s="366"/>
      <c r="B26" s="367"/>
      <c r="C26" s="367"/>
      <c r="D26" s="367"/>
      <c r="E26" s="367"/>
      <c r="F26" s="367"/>
      <c r="G26" s="367"/>
      <c r="H26" s="367"/>
      <c r="I26" s="367"/>
      <c r="J26" s="368"/>
    </row>
    <row r="27" spans="1:10" x14ac:dyDescent="0.2">
      <c r="A27" s="366"/>
      <c r="B27" s="367"/>
      <c r="C27" s="367"/>
      <c r="D27" s="367"/>
      <c r="E27" s="367"/>
      <c r="F27" s="367"/>
      <c r="G27" s="367"/>
      <c r="H27" s="367"/>
      <c r="I27" s="367"/>
      <c r="J27" s="368"/>
    </row>
    <row r="28" spans="1:10" x14ac:dyDescent="0.2">
      <c r="A28" s="366"/>
      <c r="B28" s="367"/>
      <c r="C28" s="367"/>
      <c r="D28" s="367"/>
      <c r="E28" s="367"/>
      <c r="F28" s="367"/>
      <c r="G28" s="367"/>
      <c r="H28" s="367"/>
      <c r="I28" s="367"/>
      <c r="J28" s="368"/>
    </row>
    <row r="29" spans="1:10" x14ac:dyDescent="0.2">
      <c r="A29" s="366"/>
      <c r="B29" s="367"/>
      <c r="C29" s="367"/>
      <c r="D29" s="367"/>
      <c r="E29" s="367"/>
      <c r="F29" s="367"/>
      <c r="G29" s="367"/>
      <c r="H29" s="367"/>
      <c r="I29" s="367"/>
      <c r="J29" s="368"/>
    </row>
    <row r="30" spans="1:10" x14ac:dyDescent="0.2">
      <c r="A30" s="366"/>
      <c r="B30" s="367"/>
      <c r="C30" s="367"/>
      <c r="D30" s="367"/>
      <c r="E30" s="367"/>
      <c r="F30" s="367"/>
      <c r="G30" s="367"/>
      <c r="H30" s="367"/>
      <c r="I30" s="367"/>
      <c r="J30" s="368"/>
    </row>
    <row r="31" spans="1:10" x14ac:dyDescent="0.2">
      <c r="A31" s="366"/>
      <c r="B31" s="367"/>
      <c r="C31" s="367"/>
      <c r="D31" s="367"/>
      <c r="E31" s="367"/>
      <c r="F31" s="367"/>
      <c r="G31" s="367"/>
      <c r="H31" s="367"/>
      <c r="I31" s="367"/>
      <c r="J31" s="368"/>
    </row>
    <row r="32" spans="1:10" x14ac:dyDescent="0.2">
      <c r="A32" s="366"/>
      <c r="B32" s="367"/>
      <c r="C32" s="367"/>
      <c r="D32" s="367"/>
      <c r="E32" s="367"/>
      <c r="F32" s="367"/>
      <c r="G32" s="367"/>
      <c r="H32" s="367"/>
      <c r="I32" s="367"/>
      <c r="J32" s="368"/>
    </row>
    <row r="33" spans="1:10" x14ac:dyDescent="0.2">
      <c r="A33" s="366"/>
      <c r="B33" s="367"/>
      <c r="C33" s="367"/>
      <c r="D33" s="367"/>
      <c r="E33" s="367"/>
      <c r="F33" s="367"/>
      <c r="G33" s="367"/>
      <c r="H33" s="367"/>
      <c r="I33" s="367"/>
      <c r="J33" s="368"/>
    </row>
    <row r="34" spans="1:10" x14ac:dyDescent="0.2">
      <c r="A34" s="366"/>
      <c r="B34" s="367"/>
      <c r="C34" s="367"/>
      <c r="D34" s="367"/>
      <c r="E34" s="367"/>
      <c r="F34" s="367"/>
      <c r="G34" s="367"/>
      <c r="H34" s="367"/>
      <c r="I34" s="367"/>
      <c r="J34" s="368"/>
    </row>
    <row r="35" spans="1:10" x14ac:dyDescent="0.2">
      <c r="A35" s="366"/>
      <c r="B35" s="367"/>
      <c r="C35" s="367"/>
      <c r="D35" s="367"/>
      <c r="E35" s="367"/>
      <c r="F35" s="367"/>
      <c r="G35" s="367"/>
      <c r="H35" s="367"/>
      <c r="I35" s="367"/>
      <c r="J35" s="368"/>
    </row>
    <row r="36" spans="1:10" x14ac:dyDescent="0.2">
      <c r="A36" s="366"/>
      <c r="B36" s="367"/>
      <c r="C36" s="367"/>
      <c r="D36" s="367"/>
      <c r="E36" s="367"/>
      <c r="F36" s="367"/>
      <c r="G36" s="367"/>
      <c r="H36" s="367"/>
      <c r="I36" s="367"/>
      <c r="J36" s="368"/>
    </row>
    <row r="37" spans="1:10" x14ac:dyDescent="0.2">
      <c r="A37" s="366"/>
      <c r="B37" s="367"/>
      <c r="C37" s="367"/>
      <c r="D37" s="367"/>
      <c r="E37" s="367"/>
      <c r="F37" s="367"/>
      <c r="G37" s="367"/>
      <c r="H37" s="367"/>
      <c r="I37" s="367"/>
      <c r="J37" s="368"/>
    </row>
    <row r="38" spans="1:10" x14ac:dyDescent="0.2">
      <c r="A38" s="366"/>
      <c r="B38" s="367"/>
      <c r="C38" s="367"/>
      <c r="D38" s="367"/>
      <c r="E38" s="367"/>
      <c r="F38" s="367"/>
      <c r="G38" s="367"/>
      <c r="H38" s="367"/>
      <c r="I38" s="367"/>
      <c r="J38" s="368"/>
    </row>
    <row r="39" spans="1:10" x14ac:dyDescent="0.2">
      <c r="A39" s="366"/>
      <c r="B39" s="367"/>
      <c r="C39" s="367"/>
      <c r="D39" s="367"/>
      <c r="E39" s="367"/>
      <c r="F39" s="367"/>
      <c r="G39" s="367"/>
      <c r="H39" s="367"/>
      <c r="I39" s="367"/>
      <c r="J39" s="368"/>
    </row>
    <row r="40" spans="1:10" x14ac:dyDescent="0.2">
      <c r="A40" s="366"/>
      <c r="B40" s="367"/>
      <c r="C40" s="367"/>
      <c r="D40" s="367"/>
      <c r="E40" s="367"/>
      <c r="F40" s="367"/>
      <c r="G40" s="367"/>
      <c r="H40" s="367"/>
      <c r="I40" s="367"/>
      <c r="J40" s="368"/>
    </row>
    <row r="41" spans="1:10" x14ac:dyDescent="0.2">
      <c r="A41" s="366"/>
      <c r="B41" s="367"/>
      <c r="C41" s="367"/>
      <c r="D41" s="367"/>
      <c r="E41" s="367"/>
      <c r="F41" s="367"/>
      <c r="G41" s="367"/>
      <c r="H41" s="367"/>
      <c r="I41" s="367"/>
      <c r="J41" s="368"/>
    </row>
    <row r="42" spans="1:10" x14ac:dyDescent="0.2">
      <c r="A42" s="366"/>
      <c r="B42" s="367"/>
      <c r="C42" s="367"/>
      <c r="D42" s="367"/>
      <c r="E42" s="367"/>
      <c r="F42" s="367"/>
      <c r="G42" s="367"/>
      <c r="H42" s="367"/>
      <c r="I42" s="367"/>
      <c r="J42" s="368"/>
    </row>
    <row r="43" spans="1:10" x14ac:dyDescent="0.2">
      <c r="A43" s="366"/>
      <c r="B43" s="367"/>
      <c r="C43" s="367"/>
      <c r="D43" s="367"/>
      <c r="E43" s="367"/>
      <c r="F43" s="367"/>
      <c r="G43" s="367"/>
      <c r="H43" s="367"/>
      <c r="I43" s="367"/>
      <c r="J43" s="368"/>
    </row>
    <row r="44" spans="1:10" x14ac:dyDescent="0.2">
      <c r="A44" s="366"/>
      <c r="B44" s="367"/>
      <c r="C44" s="367"/>
      <c r="D44" s="367"/>
      <c r="E44" s="367"/>
      <c r="F44" s="367"/>
      <c r="G44" s="367"/>
      <c r="H44" s="367"/>
      <c r="I44" s="367"/>
      <c r="J44" s="368"/>
    </row>
    <row r="45" spans="1:10" x14ac:dyDescent="0.2">
      <c r="A45" s="366"/>
      <c r="B45" s="367"/>
      <c r="C45" s="367"/>
      <c r="D45" s="367"/>
      <c r="E45" s="367"/>
      <c r="F45" s="367"/>
      <c r="G45" s="367"/>
      <c r="H45" s="367"/>
      <c r="I45" s="367"/>
      <c r="J45" s="368"/>
    </row>
    <row r="46" spans="1:10" x14ac:dyDescent="0.2">
      <c r="A46" s="366"/>
      <c r="B46" s="367"/>
      <c r="C46" s="367"/>
      <c r="D46" s="367"/>
      <c r="E46" s="367"/>
      <c r="F46" s="367"/>
      <c r="G46" s="367"/>
      <c r="H46" s="367"/>
      <c r="I46" s="367"/>
      <c r="J46" s="368"/>
    </row>
    <row r="47" spans="1:10" x14ac:dyDescent="0.2">
      <c r="A47" s="366"/>
      <c r="B47" s="367"/>
      <c r="C47" s="367"/>
      <c r="D47" s="367"/>
      <c r="E47" s="367"/>
      <c r="F47" s="367"/>
      <c r="G47" s="367"/>
      <c r="H47" s="367"/>
      <c r="I47" s="367"/>
      <c r="J47" s="368"/>
    </row>
    <row r="48" spans="1:10" x14ac:dyDescent="0.2">
      <c r="A48" s="366"/>
      <c r="B48" s="367"/>
      <c r="C48" s="367"/>
      <c r="D48" s="367"/>
      <c r="E48" s="367"/>
      <c r="F48" s="367"/>
      <c r="G48" s="367"/>
      <c r="H48" s="367"/>
      <c r="I48" s="367"/>
      <c r="J48" s="368"/>
    </row>
    <row r="49" spans="1:10" x14ac:dyDescent="0.2">
      <c r="A49" s="366"/>
      <c r="B49" s="367"/>
      <c r="C49" s="367"/>
      <c r="D49" s="367"/>
      <c r="E49" s="367"/>
      <c r="F49" s="367"/>
      <c r="G49" s="367"/>
      <c r="H49" s="367"/>
      <c r="I49" s="367"/>
      <c r="J49" s="368"/>
    </row>
    <row r="50" spans="1:10" x14ac:dyDescent="0.2">
      <c r="A50" s="366"/>
      <c r="B50" s="367"/>
      <c r="C50" s="367"/>
      <c r="D50" s="367"/>
      <c r="E50" s="367"/>
      <c r="F50" s="367"/>
      <c r="G50" s="367"/>
      <c r="H50" s="367"/>
      <c r="I50" s="367"/>
      <c r="J50" s="368"/>
    </row>
    <row r="51" spans="1:10" x14ac:dyDescent="0.2">
      <c r="A51" s="366"/>
      <c r="B51" s="367"/>
      <c r="C51" s="367"/>
      <c r="D51" s="367"/>
      <c r="E51" s="367"/>
      <c r="F51" s="367"/>
      <c r="G51" s="367"/>
      <c r="H51" s="367"/>
      <c r="I51" s="367"/>
      <c r="J51" s="368"/>
    </row>
    <row r="52" spans="1:10" x14ac:dyDescent="0.2">
      <c r="A52" s="366"/>
      <c r="B52" s="367"/>
      <c r="C52" s="367"/>
      <c r="D52" s="367"/>
      <c r="E52" s="367"/>
      <c r="F52" s="367"/>
      <c r="G52" s="367"/>
      <c r="H52" s="367"/>
      <c r="I52" s="367"/>
      <c r="J52" s="368"/>
    </row>
    <row r="53" spans="1:10" x14ac:dyDescent="0.2">
      <c r="A53" s="366"/>
      <c r="B53" s="367"/>
      <c r="C53" s="367"/>
      <c r="D53" s="367"/>
      <c r="E53" s="367"/>
      <c r="F53" s="367"/>
      <c r="G53" s="367"/>
      <c r="H53" s="367"/>
      <c r="I53" s="367"/>
      <c r="J53" s="368"/>
    </row>
    <row r="54" spans="1:10" x14ac:dyDescent="0.2">
      <c r="A54" s="369"/>
      <c r="B54" s="370"/>
      <c r="C54" s="370"/>
      <c r="D54" s="370"/>
      <c r="E54" s="370"/>
      <c r="F54" s="370"/>
      <c r="G54" s="370"/>
      <c r="H54" s="370"/>
      <c r="I54" s="370"/>
      <c r="J54" s="371"/>
    </row>
    <row r="55" spans="1:10" x14ac:dyDescent="0.2">
      <c r="A55" s="163"/>
      <c r="B55" s="163"/>
      <c r="C55" s="163"/>
      <c r="D55" s="163"/>
      <c r="E55" s="163"/>
      <c r="F55" s="163"/>
      <c r="G55" s="163"/>
      <c r="H55" s="163"/>
      <c r="I55" s="163"/>
      <c r="J55" s="163"/>
    </row>
    <row r="56" spans="1:10" ht="15.75" x14ac:dyDescent="0.25">
      <c r="A56" s="280" t="s">
        <v>847</v>
      </c>
      <c r="B56" s="281"/>
      <c r="C56" s="281"/>
      <c r="D56" s="281"/>
      <c r="E56" s="281"/>
      <c r="F56" s="281"/>
      <c r="G56" s="281"/>
      <c r="H56" s="278" t="str">
        <f>'CONTACT INFORMATION'!$A$24</f>
        <v>Los Angeles</v>
      </c>
      <c r="I56" s="278"/>
      <c r="J56" s="279"/>
    </row>
    <row r="57" spans="1:10" x14ac:dyDescent="0.2">
      <c r="A57" s="124"/>
      <c r="B57" s="124"/>
      <c r="C57" s="124"/>
      <c r="D57" s="124"/>
      <c r="E57" s="124"/>
      <c r="F57" s="124"/>
      <c r="G57" s="124"/>
      <c r="H57" s="124"/>
      <c r="I57" s="124"/>
      <c r="J57" s="124"/>
    </row>
    <row r="58" spans="1:10" ht="15" x14ac:dyDescent="0.25">
      <c r="A58" s="387" t="s">
        <v>878</v>
      </c>
      <c r="B58" s="388"/>
      <c r="C58" s="388"/>
      <c r="D58" s="388"/>
      <c r="E58" s="388"/>
      <c r="F58" s="388"/>
      <c r="G58" s="388"/>
      <c r="H58" s="388"/>
      <c r="I58" s="388"/>
      <c r="J58" s="389"/>
    </row>
    <row r="59" spans="1:10" x14ac:dyDescent="0.2">
      <c r="A59" s="390" t="s">
        <v>853</v>
      </c>
      <c r="B59" s="391"/>
      <c r="C59" s="391"/>
      <c r="D59" s="392"/>
      <c r="E59" s="393" t="s">
        <v>950</v>
      </c>
      <c r="F59" s="394"/>
      <c r="G59" s="394"/>
      <c r="H59" s="394"/>
      <c r="I59" s="394"/>
      <c r="J59" s="395"/>
    </row>
    <row r="60" spans="1:10" x14ac:dyDescent="0.2">
      <c r="A60" s="399" t="s">
        <v>852</v>
      </c>
      <c r="B60" s="400"/>
      <c r="C60" s="400"/>
      <c r="D60" s="401"/>
      <c r="E60" s="396"/>
      <c r="F60" s="397"/>
      <c r="G60" s="397"/>
      <c r="H60" s="397"/>
      <c r="I60" s="397"/>
      <c r="J60" s="398"/>
    </row>
    <row r="61" spans="1:10" x14ac:dyDescent="0.2">
      <c r="A61" s="402" t="s">
        <v>808</v>
      </c>
      <c r="B61" s="403"/>
      <c r="C61" s="403"/>
      <c r="D61" s="404"/>
      <c r="E61" s="198"/>
      <c r="F61" s="471"/>
      <c r="G61" s="471"/>
      <c r="H61" s="471"/>
      <c r="I61" s="471"/>
      <c r="J61" s="472"/>
    </row>
    <row r="62" spans="1:10" x14ac:dyDescent="0.2">
      <c r="A62" s="118"/>
      <c r="B62" s="158"/>
      <c r="C62" s="158"/>
      <c r="D62" s="158"/>
      <c r="E62" s="378" t="s">
        <v>535</v>
      </c>
      <c r="F62" s="379"/>
      <c r="G62" s="378" t="s">
        <v>533</v>
      </c>
      <c r="H62" s="379"/>
      <c r="I62" s="380" t="s">
        <v>848</v>
      </c>
      <c r="J62" s="381"/>
    </row>
    <row r="63" spans="1:10" x14ac:dyDescent="0.2">
      <c r="A63" s="382" t="s">
        <v>527</v>
      </c>
      <c r="B63" s="383"/>
      <c r="C63" s="383"/>
      <c r="D63" s="384"/>
      <c r="E63" s="458"/>
      <c r="F63" s="459"/>
      <c r="G63" s="385"/>
      <c r="H63" s="385"/>
      <c r="I63" s="386"/>
      <c r="J63" s="386"/>
    </row>
    <row r="64" spans="1:10" x14ac:dyDescent="0.2">
      <c r="A64" s="372" t="s">
        <v>528</v>
      </c>
      <c r="B64" s="373"/>
      <c r="C64" s="373"/>
      <c r="D64" s="374"/>
      <c r="E64" s="473"/>
      <c r="F64" s="474"/>
      <c r="G64" s="376"/>
      <c r="H64" s="376"/>
      <c r="I64" s="377"/>
      <c r="J64" s="377"/>
    </row>
    <row r="65" spans="1:10" x14ac:dyDescent="0.2">
      <c r="A65" s="382" t="s">
        <v>529</v>
      </c>
      <c r="B65" s="383"/>
      <c r="C65" s="383"/>
      <c r="D65" s="384"/>
      <c r="E65" s="458">
        <v>5485</v>
      </c>
      <c r="F65" s="459"/>
      <c r="G65" s="385"/>
      <c r="H65" s="385"/>
      <c r="I65" s="386"/>
      <c r="J65" s="386"/>
    </row>
    <row r="66" spans="1:10" x14ac:dyDescent="0.2">
      <c r="A66" s="372" t="s">
        <v>530</v>
      </c>
      <c r="B66" s="373"/>
      <c r="C66" s="373"/>
      <c r="D66" s="374"/>
      <c r="E66" s="473">
        <v>337699</v>
      </c>
      <c r="F66" s="474"/>
      <c r="G66" s="376"/>
      <c r="H66" s="376"/>
      <c r="I66" s="377"/>
      <c r="J66" s="377"/>
    </row>
    <row r="67" spans="1:10" x14ac:dyDescent="0.2">
      <c r="A67" s="382" t="s">
        <v>531</v>
      </c>
      <c r="B67" s="383"/>
      <c r="C67" s="383"/>
      <c r="D67" s="384"/>
      <c r="E67" s="458"/>
      <c r="F67" s="459"/>
      <c r="G67" s="385"/>
      <c r="H67" s="385"/>
      <c r="I67" s="386"/>
      <c r="J67" s="386"/>
    </row>
    <row r="68" spans="1:10" x14ac:dyDescent="0.2">
      <c r="A68" s="372" t="s">
        <v>532</v>
      </c>
      <c r="B68" s="373"/>
      <c r="C68" s="373"/>
      <c r="D68" s="374"/>
      <c r="E68" s="473">
        <v>1572</v>
      </c>
      <c r="F68" s="474"/>
      <c r="G68" s="376"/>
      <c r="H68" s="376"/>
      <c r="I68" s="377"/>
      <c r="J68" s="377"/>
    </row>
    <row r="69" spans="1:10" x14ac:dyDescent="0.2">
      <c r="A69" s="382" t="s">
        <v>537</v>
      </c>
      <c r="B69" s="383"/>
      <c r="C69" s="383"/>
      <c r="D69" s="384"/>
      <c r="E69" s="418"/>
      <c r="F69" s="418"/>
      <c r="G69" s="418"/>
      <c r="H69" s="418"/>
      <c r="I69" s="419"/>
      <c r="J69" s="419"/>
    </row>
    <row r="70" spans="1:10" x14ac:dyDescent="0.2">
      <c r="A70" s="408" t="s">
        <v>964</v>
      </c>
      <c r="B70" s="409"/>
      <c r="C70" s="409"/>
      <c r="D70" s="410"/>
      <c r="E70" s="473">
        <v>2613</v>
      </c>
      <c r="F70" s="474"/>
      <c r="G70" s="376"/>
      <c r="H70" s="376"/>
      <c r="I70" s="376"/>
      <c r="J70" s="376"/>
    </row>
    <row r="71" spans="1:10" x14ac:dyDescent="0.2">
      <c r="A71" s="408"/>
      <c r="B71" s="409"/>
      <c r="C71" s="409"/>
      <c r="D71" s="410"/>
      <c r="E71" s="375"/>
      <c r="F71" s="375"/>
      <c r="G71" s="376"/>
      <c r="H71" s="376"/>
      <c r="I71" s="376"/>
      <c r="J71" s="376"/>
    </row>
    <row r="72" spans="1:10" x14ac:dyDescent="0.2">
      <c r="A72" s="408"/>
      <c r="B72" s="409"/>
      <c r="C72" s="409"/>
      <c r="D72" s="410"/>
      <c r="E72" s="375"/>
      <c r="F72" s="375"/>
      <c r="G72" s="376"/>
      <c r="H72" s="376"/>
      <c r="I72" s="376"/>
      <c r="J72" s="376"/>
    </row>
    <row r="73" spans="1:10" x14ac:dyDescent="0.2">
      <c r="A73" s="411" t="s">
        <v>534</v>
      </c>
      <c r="B73" s="412"/>
      <c r="C73" s="412"/>
      <c r="D73" s="413"/>
      <c r="E73" s="414">
        <f>SUM(E63:E72)</f>
        <v>347369</v>
      </c>
      <c r="F73" s="414"/>
      <c r="G73" s="414">
        <f>SUM(G63:G72)</f>
        <v>0</v>
      </c>
      <c r="H73" s="414"/>
      <c r="I73" s="414">
        <f>SUM(I63:I72)</f>
        <v>0</v>
      </c>
      <c r="J73" s="414"/>
    </row>
    <row r="74" spans="1:10" x14ac:dyDescent="0.2">
      <c r="A74" s="415" t="s">
        <v>860</v>
      </c>
      <c r="B74" s="416"/>
      <c r="C74" s="416"/>
      <c r="D74" s="416"/>
      <c r="E74" s="416"/>
      <c r="F74" s="416"/>
      <c r="G74" s="416"/>
      <c r="H74" s="416"/>
      <c r="I74" s="416"/>
      <c r="J74" s="417"/>
    </row>
    <row r="75" spans="1:10" x14ac:dyDescent="0.2">
      <c r="A75" s="358" t="s">
        <v>861</v>
      </c>
      <c r="B75" s="359"/>
      <c r="C75" s="359"/>
      <c r="D75" s="359"/>
      <c r="E75" s="359"/>
      <c r="F75" s="359"/>
      <c r="G75" s="359"/>
      <c r="H75" s="359"/>
      <c r="I75" s="359"/>
      <c r="J75" s="360"/>
    </row>
    <row r="76" spans="1:10" x14ac:dyDescent="0.2">
      <c r="A76" s="358" t="s">
        <v>862</v>
      </c>
      <c r="B76" s="359"/>
      <c r="C76" s="359"/>
      <c r="D76" s="359"/>
      <c r="E76" s="359"/>
      <c r="F76" s="359"/>
      <c r="G76" s="359"/>
      <c r="H76" s="359"/>
      <c r="I76" s="359"/>
      <c r="J76" s="360"/>
    </row>
    <row r="77" spans="1:10" x14ac:dyDescent="0.2">
      <c r="A77" s="361" t="s">
        <v>863</v>
      </c>
      <c r="B77" s="362"/>
      <c r="C77" s="362"/>
      <c r="D77" s="362"/>
      <c r="E77" s="362"/>
      <c r="F77" s="362"/>
      <c r="G77" s="362"/>
      <c r="H77" s="362"/>
      <c r="I77" s="362"/>
      <c r="J77" s="363"/>
    </row>
    <row r="78" spans="1:10" x14ac:dyDescent="0.2">
      <c r="A78" s="233" t="s">
        <v>960</v>
      </c>
      <c r="B78" s="364"/>
      <c r="C78" s="364"/>
      <c r="D78" s="364"/>
      <c r="E78" s="364"/>
      <c r="F78" s="364"/>
      <c r="G78" s="364"/>
      <c r="H78" s="364"/>
      <c r="I78" s="364"/>
      <c r="J78" s="365"/>
    </row>
    <row r="79" spans="1:10" x14ac:dyDescent="0.2">
      <c r="A79" s="366"/>
      <c r="B79" s="367"/>
      <c r="C79" s="367"/>
      <c r="D79" s="367"/>
      <c r="E79" s="367"/>
      <c r="F79" s="367"/>
      <c r="G79" s="367"/>
      <c r="H79" s="367"/>
      <c r="I79" s="367"/>
      <c r="J79" s="368"/>
    </row>
    <row r="80" spans="1:10" x14ac:dyDescent="0.2">
      <c r="A80" s="366"/>
      <c r="B80" s="367"/>
      <c r="C80" s="367"/>
      <c r="D80" s="367"/>
      <c r="E80" s="367"/>
      <c r="F80" s="367"/>
      <c r="G80" s="367"/>
      <c r="H80" s="367"/>
      <c r="I80" s="367"/>
      <c r="J80" s="368"/>
    </row>
    <row r="81" spans="1:10" x14ac:dyDescent="0.2">
      <c r="A81" s="366"/>
      <c r="B81" s="367"/>
      <c r="C81" s="367"/>
      <c r="D81" s="367"/>
      <c r="E81" s="367"/>
      <c r="F81" s="367"/>
      <c r="G81" s="367"/>
      <c r="H81" s="367"/>
      <c r="I81" s="367"/>
      <c r="J81" s="368"/>
    </row>
    <row r="82" spans="1:10" x14ac:dyDescent="0.2">
      <c r="A82" s="366"/>
      <c r="B82" s="367"/>
      <c r="C82" s="367"/>
      <c r="D82" s="367"/>
      <c r="E82" s="367"/>
      <c r="F82" s="367"/>
      <c r="G82" s="367"/>
      <c r="H82" s="367"/>
      <c r="I82" s="367"/>
      <c r="J82" s="368"/>
    </row>
    <row r="83" spans="1:10" x14ac:dyDescent="0.2">
      <c r="A83" s="366"/>
      <c r="B83" s="367"/>
      <c r="C83" s="367"/>
      <c r="D83" s="367"/>
      <c r="E83" s="367"/>
      <c r="F83" s="367"/>
      <c r="G83" s="367"/>
      <c r="H83" s="367"/>
      <c r="I83" s="367"/>
      <c r="J83" s="368"/>
    </row>
    <row r="84" spans="1:10" x14ac:dyDescent="0.2">
      <c r="A84" s="366"/>
      <c r="B84" s="367"/>
      <c r="C84" s="367"/>
      <c r="D84" s="367"/>
      <c r="E84" s="367"/>
      <c r="F84" s="367"/>
      <c r="G84" s="367"/>
      <c r="H84" s="367"/>
      <c r="I84" s="367"/>
      <c r="J84" s="368"/>
    </row>
    <row r="85" spans="1:10" x14ac:dyDescent="0.2">
      <c r="A85" s="366"/>
      <c r="B85" s="367"/>
      <c r="C85" s="367"/>
      <c r="D85" s="367"/>
      <c r="E85" s="367"/>
      <c r="F85" s="367"/>
      <c r="G85" s="367"/>
      <c r="H85" s="367"/>
      <c r="I85" s="367"/>
      <c r="J85" s="368"/>
    </row>
    <row r="86" spans="1:10" x14ac:dyDescent="0.2">
      <c r="A86" s="366"/>
      <c r="B86" s="367"/>
      <c r="C86" s="367"/>
      <c r="D86" s="367"/>
      <c r="E86" s="367"/>
      <c r="F86" s="367"/>
      <c r="G86" s="367"/>
      <c r="H86" s="367"/>
      <c r="I86" s="367"/>
      <c r="J86" s="368"/>
    </row>
    <row r="87" spans="1:10" x14ac:dyDescent="0.2">
      <c r="A87" s="366"/>
      <c r="B87" s="367"/>
      <c r="C87" s="367"/>
      <c r="D87" s="367"/>
      <c r="E87" s="367"/>
      <c r="F87" s="367"/>
      <c r="G87" s="367"/>
      <c r="H87" s="367"/>
      <c r="I87" s="367"/>
      <c r="J87" s="368"/>
    </row>
    <row r="88" spans="1:10" x14ac:dyDescent="0.2">
      <c r="A88" s="366"/>
      <c r="B88" s="367"/>
      <c r="C88" s="367"/>
      <c r="D88" s="367"/>
      <c r="E88" s="367"/>
      <c r="F88" s="367"/>
      <c r="G88" s="367"/>
      <c r="H88" s="367"/>
      <c r="I88" s="367"/>
      <c r="J88" s="368"/>
    </row>
    <row r="89" spans="1:10" x14ac:dyDescent="0.2">
      <c r="A89" s="366"/>
      <c r="B89" s="367"/>
      <c r="C89" s="367"/>
      <c r="D89" s="367"/>
      <c r="E89" s="367"/>
      <c r="F89" s="367"/>
      <c r="G89" s="367"/>
      <c r="H89" s="367"/>
      <c r="I89" s="367"/>
      <c r="J89" s="368"/>
    </row>
    <row r="90" spans="1:10" x14ac:dyDescent="0.2">
      <c r="A90" s="366"/>
      <c r="B90" s="367"/>
      <c r="C90" s="367"/>
      <c r="D90" s="367"/>
      <c r="E90" s="367"/>
      <c r="F90" s="367"/>
      <c r="G90" s="367"/>
      <c r="H90" s="367"/>
      <c r="I90" s="367"/>
      <c r="J90" s="368"/>
    </row>
    <row r="91" spans="1:10" x14ac:dyDescent="0.2">
      <c r="A91" s="366"/>
      <c r="B91" s="367"/>
      <c r="C91" s="367"/>
      <c r="D91" s="367"/>
      <c r="E91" s="367"/>
      <c r="F91" s="367"/>
      <c r="G91" s="367"/>
      <c r="H91" s="367"/>
      <c r="I91" s="367"/>
      <c r="J91" s="368"/>
    </row>
    <row r="92" spans="1:10" x14ac:dyDescent="0.2">
      <c r="A92" s="366"/>
      <c r="B92" s="367"/>
      <c r="C92" s="367"/>
      <c r="D92" s="367"/>
      <c r="E92" s="367"/>
      <c r="F92" s="367"/>
      <c r="G92" s="367"/>
      <c r="H92" s="367"/>
      <c r="I92" s="367"/>
      <c r="J92" s="368"/>
    </row>
    <row r="93" spans="1:10" x14ac:dyDescent="0.2">
      <c r="A93" s="366"/>
      <c r="B93" s="367"/>
      <c r="C93" s="367"/>
      <c r="D93" s="367"/>
      <c r="E93" s="367"/>
      <c r="F93" s="367"/>
      <c r="G93" s="367"/>
      <c r="H93" s="367"/>
      <c r="I93" s="367"/>
      <c r="J93" s="368"/>
    </row>
    <row r="94" spans="1:10" x14ac:dyDescent="0.2">
      <c r="A94" s="366"/>
      <c r="B94" s="367"/>
      <c r="C94" s="367"/>
      <c r="D94" s="367"/>
      <c r="E94" s="367"/>
      <c r="F94" s="367"/>
      <c r="G94" s="367"/>
      <c r="H94" s="367"/>
      <c r="I94" s="367"/>
      <c r="J94" s="368"/>
    </row>
    <row r="95" spans="1:10" x14ac:dyDescent="0.2">
      <c r="A95" s="366"/>
      <c r="B95" s="367"/>
      <c r="C95" s="367"/>
      <c r="D95" s="367"/>
      <c r="E95" s="367"/>
      <c r="F95" s="367"/>
      <c r="G95" s="367"/>
      <c r="H95" s="367"/>
      <c r="I95" s="367"/>
      <c r="J95" s="368"/>
    </row>
    <row r="96" spans="1:10" x14ac:dyDescent="0.2">
      <c r="A96" s="366"/>
      <c r="B96" s="367"/>
      <c r="C96" s="367"/>
      <c r="D96" s="367"/>
      <c r="E96" s="367"/>
      <c r="F96" s="367"/>
      <c r="G96" s="367"/>
      <c r="H96" s="367"/>
      <c r="I96" s="367"/>
      <c r="J96" s="368"/>
    </row>
    <row r="97" spans="1:10" x14ac:dyDescent="0.2">
      <c r="A97" s="366"/>
      <c r="B97" s="367"/>
      <c r="C97" s="367"/>
      <c r="D97" s="367"/>
      <c r="E97" s="367"/>
      <c r="F97" s="367"/>
      <c r="G97" s="367"/>
      <c r="H97" s="367"/>
      <c r="I97" s="367"/>
      <c r="J97" s="368"/>
    </row>
    <row r="98" spans="1:10" x14ac:dyDescent="0.2">
      <c r="A98" s="366"/>
      <c r="B98" s="367"/>
      <c r="C98" s="367"/>
      <c r="D98" s="367"/>
      <c r="E98" s="367"/>
      <c r="F98" s="367"/>
      <c r="G98" s="367"/>
      <c r="H98" s="367"/>
      <c r="I98" s="367"/>
      <c r="J98" s="368"/>
    </row>
    <row r="99" spans="1:10" x14ac:dyDescent="0.2">
      <c r="A99" s="366"/>
      <c r="B99" s="367"/>
      <c r="C99" s="367"/>
      <c r="D99" s="367"/>
      <c r="E99" s="367"/>
      <c r="F99" s="367"/>
      <c r="G99" s="367"/>
      <c r="H99" s="367"/>
      <c r="I99" s="367"/>
      <c r="J99" s="368"/>
    </row>
    <row r="100" spans="1:10" x14ac:dyDescent="0.2">
      <c r="A100" s="366"/>
      <c r="B100" s="367"/>
      <c r="C100" s="367"/>
      <c r="D100" s="367"/>
      <c r="E100" s="367"/>
      <c r="F100" s="367"/>
      <c r="G100" s="367"/>
      <c r="H100" s="367"/>
      <c r="I100" s="367"/>
      <c r="J100" s="368"/>
    </row>
    <row r="101" spans="1:10" x14ac:dyDescent="0.2">
      <c r="A101" s="366"/>
      <c r="B101" s="367"/>
      <c r="C101" s="367"/>
      <c r="D101" s="367"/>
      <c r="E101" s="367"/>
      <c r="F101" s="367"/>
      <c r="G101" s="367"/>
      <c r="H101" s="367"/>
      <c r="I101" s="367"/>
      <c r="J101" s="368"/>
    </row>
    <row r="102" spans="1:10" x14ac:dyDescent="0.2">
      <c r="A102" s="366"/>
      <c r="B102" s="367"/>
      <c r="C102" s="367"/>
      <c r="D102" s="367"/>
      <c r="E102" s="367"/>
      <c r="F102" s="367"/>
      <c r="G102" s="367"/>
      <c r="H102" s="367"/>
      <c r="I102" s="367"/>
      <c r="J102" s="368"/>
    </row>
    <row r="103" spans="1:10" x14ac:dyDescent="0.2">
      <c r="A103" s="366"/>
      <c r="B103" s="367"/>
      <c r="C103" s="367"/>
      <c r="D103" s="367"/>
      <c r="E103" s="367"/>
      <c r="F103" s="367"/>
      <c r="G103" s="367"/>
      <c r="H103" s="367"/>
      <c r="I103" s="367"/>
      <c r="J103" s="368"/>
    </row>
    <row r="104" spans="1:10" x14ac:dyDescent="0.2">
      <c r="A104" s="366"/>
      <c r="B104" s="367"/>
      <c r="C104" s="367"/>
      <c r="D104" s="367"/>
      <c r="E104" s="367"/>
      <c r="F104" s="367"/>
      <c r="G104" s="367"/>
      <c r="H104" s="367"/>
      <c r="I104" s="367"/>
      <c r="J104" s="368"/>
    </row>
    <row r="105" spans="1:10" x14ac:dyDescent="0.2">
      <c r="A105" s="366"/>
      <c r="B105" s="367"/>
      <c r="C105" s="367"/>
      <c r="D105" s="367"/>
      <c r="E105" s="367"/>
      <c r="F105" s="367"/>
      <c r="G105" s="367"/>
      <c r="H105" s="367"/>
      <c r="I105" s="367"/>
      <c r="J105" s="368"/>
    </row>
    <row r="106" spans="1:10" x14ac:dyDescent="0.2">
      <c r="A106" s="366"/>
      <c r="B106" s="367"/>
      <c r="C106" s="367"/>
      <c r="D106" s="367"/>
      <c r="E106" s="367"/>
      <c r="F106" s="367"/>
      <c r="G106" s="367"/>
      <c r="H106" s="367"/>
      <c r="I106" s="367"/>
      <c r="J106" s="368"/>
    </row>
    <row r="107" spans="1:10" x14ac:dyDescent="0.2">
      <c r="A107" s="366"/>
      <c r="B107" s="367"/>
      <c r="C107" s="367"/>
      <c r="D107" s="367"/>
      <c r="E107" s="367"/>
      <c r="F107" s="367"/>
      <c r="G107" s="367"/>
      <c r="H107" s="367"/>
      <c r="I107" s="367"/>
      <c r="J107" s="368"/>
    </row>
    <row r="108" spans="1:10" x14ac:dyDescent="0.2">
      <c r="A108" s="366"/>
      <c r="B108" s="367"/>
      <c r="C108" s="367"/>
      <c r="D108" s="367"/>
      <c r="E108" s="367"/>
      <c r="F108" s="367"/>
      <c r="G108" s="367"/>
      <c r="H108" s="367"/>
      <c r="I108" s="367"/>
      <c r="J108" s="368"/>
    </row>
    <row r="109" spans="1:10" x14ac:dyDescent="0.2">
      <c r="A109" s="366"/>
      <c r="B109" s="367"/>
      <c r="C109" s="367"/>
      <c r="D109" s="367"/>
      <c r="E109" s="367"/>
      <c r="F109" s="367"/>
      <c r="G109" s="367"/>
      <c r="H109" s="367"/>
      <c r="I109" s="367"/>
      <c r="J109" s="368"/>
    </row>
    <row r="110" spans="1:10" x14ac:dyDescent="0.2">
      <c r="A110" s="369"/>
      <c r="B110" s="370"/>
      <c r="C110" s="370"/>
      <c r="D110" s="370"/>
      <c r="E110" s="370"/>
      <c r="F110" s="370"/>
      <c r="G110" s="370"/>
      <c r="H110" s="370"/>
      <c r="I110" s="370"/>
      <c r="J110" s="371"/>
    </row>
    <row r="112" spans="1:10" ht="15.75" x14ac:dyDescent="0.25">
      <c r="A112" s="280" t="s">
        <v>847</v>
      </c>
      <c r="B112" s="281"/>
      <c r="C112" s="281"/>
      <c r="D112" s="281"/>
      <c r="E112" s="281"/>
      <c r="F112" s="281"/>
      <c r="G112" s="281"/>
      <c r="H112" s="278" t="str">
        <f>'CONTACT INFORMATION'!$A$24</f>
        <v>Los Angeles</v>
      </c>
      <c r="I112" s="278"/>
      <c r="J112" s="279"/>
    </row>
    <row r="113" spans="1:10" x14ac:dyDescent="0.2">
      <c r="A113" s="124"/>
      <c r="B113" s="124"/>
      <c r="C113" s="124"/>
      <c r="D113" s="124"/>
      <c r="E113" s="124"/>
      <c r="F113" s="124"/>
      <c r="G113" s="124"/>
      <c r="H113" s="124"/>
      <c r="I113" s="124"/>
      <c r="J113" s="124"/>
    </row>
    <row r="114" spans="1:10" ht="15" x14ac:dyDescent="0.25">
      <c r="A114" s="387" t="s">
        <v>879</v>
      </c>
      <c r="B114" s="388"/>
      <c r="C114" s="388"/>
      <c r="D114" s="388"/>
      <c r="E114" s="388"/>
      <c r="F114" s="388"/>
      <c r="G114" s="388"/>
      <c r="H114" s="388"/>
      <c r="I114" s="388"/>
      <c r="J114" s="389"/>
    </row>
    <row r="115" spans="1:10" x14ac:dyDescent="0.2">
      <c r="A115" s="390" t="s">
        <v>853</v>
      </c>
      <c r="B115" s="391"/>
      <c r="C115" s="391"/>
      <c r="D115" s="392"/>
      <c r="E115" s="393" t="s">
        <v>951</v>
      </c>
      <c r="F115" s="394"/>
      <c r="G115" s="394"/>
      <c r="H115" s="394"/>
      <c r="I115" s="394"/>
      <c r="J115" s="395"/>
    </row>
    <row r="116" spans="1:10" x14ac:dyDescent="0.2">
      <c r="A116" s="399" t="s">
        <v>852</v>
      </c>
      <c r="B116" s="400"/>
      <c r="C116" s="400"/>
      <c r="D116" s="401"/>
      <c r="E116" s="396"/>
      <c r="F116" s="397"/>
      <c r="G116" s="397"/>
      <c r="H116" s="397"/>
      <c r="I116" s="397"/>
      <c r="J116" s="398"/>
    </row>
    <row r="117" spans="1:10" x14ac:dyDescent="0.2">
      <c r="A117" s="402" t="s">
        <v>808</v>
      </c>
      <c r="B117" s="403"/>
      <c r="C117" s="403"/>
      <c r="D117" s="404"/>
      <c r="E117" s="198"/>
      <c r="F117" s="471"/>
      <c r="G117" s="471"/>
      <c r="H117" s="471"/>
      <c r="I117" s="471"/>
      <c r="J117" s="472"/>
    </row>
    <row r="118" spans="1:10" x14ac:dyDescent="0.2">
      <c r="A118" s="118"/>
      <c r="B118" s="158"/>
      <c r="C118" s="158"/>
      <c r="D118" s="158"/>
      <c r="E118" s="378" t="s">
        <v>535</v>
      </c>
      <c r="F118" s="379"/>
      <c r="G118" s="378" t="s">
        <v>533</v>
      </c>
      <c r="H118" s="379"/>
      <c r="I118" s="380" t="s">
        <v>848</v>
      </c>
      <c r="J118" s="381"/>
    </row>
    <row r="119" spans="1:10" x14ac:dyDescent="0.2">
      <c r="A119" s="382" t="s">
        <v>527</v>
      </c>
      <c r="B119" s="383"/>
      <c r="C119" s="383"/>
      <c r="D119" s="384"/>
      <c r="E119" s="458"/>
      <c r="F119" s="459"/>
      <c r="G119" s="385"/>
      <c r="H119" s="385"/>
      <c r="I119" s="386"/>
      <c r="J119" s="386"/>
    </row>
    <row r="120" spans="1:10" x14ac:dyDescent="0.2">
      <c r="A120" s="372" t="s">
        <v>528</v>
      </c>
      <c r="B120" s="373"/>
      <c r="C120" s="373"/>
      <c r="D120" s="374"/>
      <c r="E120" s="473">
        <v>46027</v>
      </c>
      <c r="F120" s="474"/>
      <c r="G120" s="376"/>
      <c r="H120" s="376"/>
      <c r="I120" s="377"/>
      <c r="J120" s="377"/>
    </row>
    <row r="121" spans="1:10" x14ac:dyDescent="0.2">
      <c r="A121" s="382" t="s">
        <v>529</v>
      </c>
      <c r="B121" s="383"/>
      <c r="C121" s="383"/>
      <c r="D121" s="384"/>
      <c r="E121" s="458">
        <v>748</v>
      </c>
      <c r="F121" s="459"/>
      <c r="G121" s="385"/>
      <c r="H121" s="385"/>
      <c r="I121" s="386"/>
      <c r="J121" s="386"/>
    </row>
    <row r="122" spans="1:10" x14ac:dyDescent="0.2">
      <c r="A122" s="372" t="s">
        <v>530</v>
      </c>
      <c r="B122" s="373"/>
      <c r="C122" s="373"/>
      <c r="D122" s="374"/>
      <c r="E122" s="473"/>
      <c r="F122" s="474"/>
      <c r="G122" s="376"/>
      <c r="H122" s="376"/>
      <c r="I122" s="377"/>
      <c r="J122" s="377"/>
    </row>
    <row r="123" spans="1:10" x14ac:dyDescent="0.2">
      <c r="A123" s="382" t="s">
        <v>531</v>
      </c>
      <c r="B123" s="383"/>
      <c r="C123" s="383"/>
      <c r="D123" s="384"/>
      <c r="E123" s="458"/>
      <c r="F123" s="459"/>
      <c r="G123" s="385"/>
      <c r="H123" s="385"/>
      <c r="I123" s="386"/>
      <c r="J123" s="386"/>
    </row>
    <row r="124" spans="1:10" x14ac:dyDescent="0.2">
      <c r="A124" s="372" t="s">
        <v>532</v>
      </c>
      <c r="B124" s="373"/>
      <c r="C124" s="373"/>
      <c r="D124" s="374"/>
      <c r="E124" s="473">
        <v>214</v>
      </c>
      <c r="F124" s="474"/>
      <c r="G124" s="376"/>
      <c r="H124" s="376"/>
      <c r="I124" s="377"/>
      <c r="J124" s="377"/>
    </row>
    <row r="125" spans="1:10" x14ac:dyDescent="0.2">
      <c r="A125" s="382" t="s">
        <v>537</v>
      </c>
      <c r="B125" s="383"/>
      <c r="C125" s="383"/>
      <c r="D125" s="384"/>
      <c r="E125" s="418"/>
      <c r="F125" s="418"/>
      <c r="G125" s="418"/>
      <c r="H125" s="418"/>
      <c r="I125" s="419"/>
      <c r="J125" s="419"/>
    </row>
    <row r="126" spans="1:10" x14ac:dyDescent="0.2">
      <c r="A126" s="408" t="s">
        <v>964</v>
      </c>
      <c r="B126" s="409"/>
      <c r="C126" s="409"/>
      <c r="D126" s="410"/>
      <c r="E126" s="473">
        <v>356</v>
      </c>
      <c r="F126" s="474"/>
      <c r="G126" s="376"/>
      <c r="H126" s="376"/>
      <c r="I126" s="376"/>
      <c r="J126" s="376"/>
    </row>
    <row r="127" spans="1:10" x14ac:dyDescent="0.2">
      <c r="A127" s="408"/>
      <c r="B127" s="409"/>
      <c r="C127" s="409"/>
      <c r="D127" s="410"/>
      <c r="E127" s="375"/>
      <c r="F127" s="375"/>
      <c r="G127" s="376"/>
      <c r="H127" s="376"/>
      <c r="I127" s="376"/>
      <c r="J127" s="376"/>
    </row>
    <row r="128" spans="1:10" x14ac:dyDescent="0.2">
      <c r="A128" s="408"/>
      <c r="B128" s="409"/>
      <c r="C128" s="409"/>
      <c r="D128" s="410"/>
      <c r="E128" s="375"/>
      <c r="F128" s="375"/>
      <c r="G128" s="376"/>
      <c r="H128" s="376"/>
      <c r="I128" s="376"/>
      <c r="J128" s="376"/>
    </row>
    <row r="129" spans="1:10" x14ac:dyDescent="0.2">
      <c r="A129" s="411" t="s">
        <v>534</v>
      </c>
      <c r="B129" s="412"/>
      <c r="C129" s="412"/>
      <c r="D129" s="413"/>
      <c r="E129" s="414">
        <f>SUM(E119:E128)</f>
        <v>47345</v>
      </c>
      <c r="F129" s="414"/>
      <c r="G129" s="414">
        <f>SUM(G119:G128)</f>
        <v>0</v>
      </c>
      <c r="H129" s="414"/>
      <c r="I129" s="414">
        <f>SUM(I119:I128)</f>
        <v>0</v>
      </c>
      <c r="J129" s="414"/>
    </row>
    <row r="130" spans="1:10" x14ac:dyDescent="0.2">
      <c r="A130" s="415" t="s">
        <v>860</v>
      </c>
      <c r="B130" s="416"/>
      <c r="C130" s="416"/>
      <c r="D130" s="416"/>
      <c r="E130" s="416"/>
      <c r="F130" s="416"/>
      <c r="G130" s="416"/>
      <c r="H130" s="416"/>
      <c r="I130" s="416"/>
      <c r="J130" s="417"/>
    </row>
    <row r="131" spans="1:10" x14ac:dyDescent="0.2">
      <c r="A131" s="358" t="s">
        <v>861</v>
      </c>
      <c r="B131" s="359"/>
      <c r="C131" s="359"/>
      <c r="D131" s="359"/>
      <c r="E131" s="359"/>
      <c r="F131" s="359"/>
      <c r="G131" s="359"/>
      <c r="H131" s="359"/>
      <c r="I131" s="359"/>
      <c r="J131" s="360"/>
    </row>
    <row r="132" spans="1:10" x14ac:dyDescent="0.2">
      <c r="A132" s="358" t="s">
        <v>862</v>
      </c>
      <c r="B132" s="359"/>
      <c r="C132" s="359"/>
      <c r="D132" s="359"/>
      <c r="E132" s="359"/>
      <c r="F132" s="359"/>
      <c r="G132" s="359"/>
      <c r="H132" s="359"/>
      <c r="I132" s="359"/>
      <c r="J132" s="360"/>
    </row>
    <row r="133" spans="1:10" x14ac:dyDescent="0.2">
      <c r="A133" s="361" t="s">
        <v>863</v>
      </c>
      <c r="B133" s="362"/>
      <c r="C133" s="362"/>
      <c r="D133" s="362"/>
      <c r="E133" s="362"/>
      <c r="F133" s="362"/>
      <c r="G133" s="362"/>
      <c r="H133" s="362"/>
      <c r="I133" s="362"/>
      <c r="J133" s="363"/>
    </row>
    <row r="134" spans="1:10" x14ac:dyDescent="0.2">
      <c r="A134" s="233" t="s">
        <v>987</v>
      </c>
      <c r="B134" s="364"/>
      <c r="C134" s="364"/>
      <c r="D134" s="364"/>
      <c r="E134" s="364"/>
      <c r="F134" s="364"/>
      <c r="G134" s="364"/>
      <c r="H134" s="364"/>
      <c r="I134" s="364"/>
      <c r="J134" s="365"/>
    </row>
    <row r="135" spans="1:10" x14ac:dyDescent="0.2">
      <c r="A135" s="366"/>
      <c r="B135" s="367"/>
      <c r="C135" s="367"/>
      <c r="D135" s="367"/>
      <c r="E135" s="367"/>
      <c r="F135" s="367"/>
      <c r="G135" s="367"/>
      <c r="H135" s="367"/>
      <c r="I135" s="367"/>
      <c r="J135" s="368"/>
    </row>
    <row r="136" spans="1:10" x14ac:dyDescent="0.2">
      <c r="A136" s="366"/>
      <c r="B136" s="367"/>
      <c r="C136" s="367"/>
      <c r="D136" s="367"/>
      <c r="E136" s="367"/>
      <c r="F136" s="367"/>
      <c r="G136" s="367"/>
      <c r="H136" s="367"/>
      <c r="I136" s="367"/>
      <c r="J136" s="368"/>
    </row>
    <row r="137" spans="1:10" x14ac:dyDescent="0.2">
      <c r="A137" s="366"/>
      <c r="B137" s="367"/>
      <c r="C137" s="367"/>
      <c r="D137" s="367"/>
      <c r="E137" s="367"/>
      <c r="F137" s="367"/>
      <c r="G137" s="367"/>
      <c r="H137" s="367"/>
      <c r="I137" s="367"/>
      <c r="J137" s="368"/>
    </row>
    <row r="138" spans="1:10" x14ac:dyDescent="0.2">
      <c r="A138" s="366"/>
      <c r="B138" s="367"/>
      <c r="C138" s="367"/>
      <c r="D138" s="367"/>
      <c r="E138" s="367"/>
      <c r="F138" s="367"/>
      <c r="G138" s="367"/>
      <c r="H138" s="367"/>
      <c r="I138" s="367"/>
      <c r="J138" s="368"/>
    </row>
    <row r="139" spans="1:10" x14ac:dyDescent="0.2">
      <c r="A139" s="366"/>
      <c r="B139" s="367"/>
      <c r="C139" s="367"/>
      <c r="D139" s="367"/>
      <c r="E139" s="367"/>
      <c r="F139" s="367"/>
      <c r="G139" s="367"/>
      <c r="H139" s="367"/>
      <c r="I139" s="367"/>
      <c r="J139" s="368"/>
    </row>
    <row r="140" spans="1:10" x14ac:dyDescent="0.2">
      <c r="A140" s="366"/>
      <c r="B140" s="367"/>
      <c r="C140" s="367"/>
      <c r="D140" s="367"/>
      <c r="E140" s="367"/>
      <c r="F140" s="367"/>
      <c r="G140" s="367"/>
      <c r="H140" s="367"/>
      <c r="I140" s="367"/>
      <c r="J140" s="368"/>
    </row>
    <row r="141" spans="1:10" x14ac:dyDescent="0.2">
      <c r="A141" s="366"/>
      <c r="B141" s="367"/>
      <c r="C141" s="367"/>
      <c r="D141" s="367"/>
      <c r="E141" s="367"/>
      <c r="F141" s="367"/>
      <c r="G141" s="367"/>
      <c r="H141" s="367"/>
      <c r="I141" s="367"/>
      <c r="J141" s="368"/>
    </row>
    <row r="142" spans="1:10" x14ac:dyDescent="0.2">
      <c r="A142" s="366"/>
      <c r="B142" s="367"/>
      <c r="C142" s="367"/>
      <c r="D142" s="367"/>
      <c r="E142" s="367"/>
      <c r="F142" s="367"/>
      <c r="G142" s="367"/>
      <c r="H142" s="367"/>
      <c r="I142" s="367"/>
      <c r="J142" s="368"/>
    </row>
    <row r="143" spans="1:10" x14ac:dyDescent="0.2">
      <c r="A143" s="366"/>
      <c r="B143" s="367"/>
      <c r="C143" s="367"/>
      <c r="D143" s="367"/>
      <c r="E143" s="367"/>
      <c r="F143" s="367"/>
      <c r="G143" s="367"/>
      <c r="H143" s="367"/>
      <c r="I143" s="367"/>
      <c r="J143" s="368"/>
    </row>
    <row r="144" spans="1:10" x14ac:dyDescent="0.2">
      <c r="A144" s="366"/>
      <c r="B144" s="367"/>
      <c r="C144" s="367"/>
      <c r="D144" s="367"/>
      <c r="E144" s="367"/>
      <c r="F144" s="367"/>
      <c r="G144" s="367"/>
      <c r="H144" s="367"/>
      <c r="I144" s="367"/>
      <c r="J144" s="368"/>
    </row>
    <row r="145" spans="1:10" x14ac:dyDescent="0.2">
      <c r="A145" s="366"/>
      <c r="B145" s="367"/>
      <c r="C145" s="367"/>
      <c r="D145" s="367"/>
      <c r="E145" s="367"/>
      <c r="F145" s="367"/>
      <c r="G145" s="367"/>
      <c r="H145" s="367"/>
      <c r="I145" s="367"/>
      <c r="J145" s="368"/>
    </row>
    <row r="146" spans="1:10" x14ac:dyDescent="0.2">
      <c r="A146" s="366"/>
      <c r="B146" s="367"/>
      <c r="C146" s="367"/>
      <c r="D146" s="367"/>
      <c r="E146" s="367"/>
      <c r="F146" s="367"/>
      <c r="G146" s="367"/>
      <c r="H146" s="367"/>
      <c r="I146" s="367"/>
      <c r="J146" s="368"/>
    </row>
    <row r="147" spans="1:10" x14ac:dyDescent="0.2">
      <c r="A147" s="366"/>
      <c r="B147" s="367"/>
      <c r="C147" s="367"/>
      <c r="D147" s="367"/>
      <c r="E147" s="367"/>
      <c r="F147" s="367"/>
      <c r="G147" s="367"/>
      <c r="H147" s="367"/>
      <c r="I147" s="367"/>
      <c r="J147" s="368"/>
    </row>
    <row r="148" spans="1:10" x14ac:dyDescent="0.2">
      <c r="A148" s="366"/>
      <c r="B148" s="367"/>
      <c r="C148" s="367"/>
      <c r="D148" s="367"/>
      <c r="E148" s="367"/>
      <c r="F148" s="367"/>
      <c r="G148" s="367"/>
      <c r="H148" s="367"/>
      <c r="I148" s="367"/>
      <c r="J148" s="368"/>
    </row>
    <row r="149" spans="1:10" x14ac:dyDescent="0.2">
      <c r="A149" s="366"/>
      <c r="B149" s="367"/>
      <c r="C149" s="367"/>
      <c r="D149" s="367"/>
      <c r="E149" s="367"/>
      <c r="F149" s="367"/>
      <c r="G149" s="367"/>
      <c r="H149" s="367"/>
      <c r="I149" s="367"/>
      <c r="J149" s="368"/>
    </row>
    <row r="150" spans="1:10" x14ac:dyDescent="0.2">
      <c r="A150" s="366"/>
      <c r="B150" s="367"/>
      <c r="C150" s="367"/>
      <c r="D150" s="367"/>
      <c r="E150" s="367"/>
      <c r="F150" s="367"/>
      <c r="G150" s="367"/>
      <c r="H150" s="367"/>
      <c r="I150" s="367"/>
      <c r="J150" s="368"/>
    </row>
    <row r="151" spans="1:10" x14ac:dyDescent="0.2">
      <c r="A151" s="366"/>
      <c r="B151" s="367"/>
      <c r="C151" s="367"/>
      <c r="D151" s="367"/>
      <c r="E151" s="367"/>
      <c r="F151" s="367"/>
      <c r="G151" s="367"/>
      <c r="H151" s="367"/>
      <c r="I151" s="367"/>
      <c r="J151" s="368"/>
    </row>
    <row r="152" spans="1:10" x14ac:dyDescent="0.2">
      <c r="A152" s="366"/>
      <c r="B152" s="367"/>
      <c r="C152" s="367"/>
      <c r="D152" s="367"/>
      <c r="E152" s="367"/>
      <c r="F152" s="367"/>
      <c r="G152" s="367"/>
      <c r="H152" s="367"/>
      <c r="I152" s="367"/>
      <c r="J152" s="368"/>
    </row>
    <row r="153" spans="1:10" x14ac:dyDescent="0.2">
      <c r="A153" s="366"/>
      <c r="B153" s="367"/>
      <c r="C153" s="367"/>
      <c r="D153" s="367"/>
      <c r="E153" s="367"/>
      <c r="F153" s="367"/>
      <c r="G153" s="367"/>
      <c r="H153" s="367"/>
      <c r="I153" s="367"/>
      <c r="J153" s="368"/>
    </row>
    <row r="154" spans="1:10" x14ac:dyDescent="0.2">
      <c r="A154" s="366"/>
      <c r="B154" s="367"/>
      <c r="C154" s="367"/>
      <c r="D154" s="367"/>
      <c r="E154" s="367"/>
      <c r="F154" s="367"/>
      <c r="G154" s="367"/>
      <c r="H154" s="367"/>
      <c r="I154" s="367"/>
      <c r="J154" s="368"/>
    </row>
    <row r="155" spans="1:10" x14ac:dyDescent="0.2">
      <c r="A155" s="366"/>
      <c r="B155" s="367"/>
      <c r="C155" s="367"/>
      <c r="D155" s="367"/>
      <c r="E155" s="367"/>
      <c r="F155" s="367"/>
      <c r="G155" s="367"/>
      <c r="H155" s="367"/>
      <c r="I155" s="367"/>
      <c r="J155" s="368"/>
    </row>
    <row r="156" spans="1:10" x14ac:dyDescent="0.2">
      <c r="A156" s="366"/>
      <c r="B156" s="367"/>
      <c r="C156" s="367"/>
      <c r="D156" s="367"/>
      <c r="E156" s="367"/>
      <c r="F156" s="367"/>
      <c r="G156" s="367"/>
      <c r="H156" s="367"/>
      <c r="I156" s="367"/>
      <c r="J156" s="368"/>
    </row>
    <row r="157" spans="1:10" x14ac:dyDescent="0.2">
      <c r="A157" s="366"/>
      <c r="B157" s="367"/>
      <c r="C157" s="367"/>
      <c r="D157" s="367"/>
      <c r="E157" s="367"/>
      <c r="F157" s="367"/>
      <c r="G157" s="367"/>
      <c r="H157" s="367"/>
      <c r="I157" s="367"/>
      <c r="J157" s="368"/>
    </row>
    <row r="158" spans="1:10" x14ac:dyDescent="0.2">
      <c r="A158" s="366"/>
      <c r="B158" s="367"/>
      <c r="C158" s="367"/>
      <c r="D158" s="367"/>
      <c r="E158" s="367"/>
      <c r="F158" s="367"/>
      <c r="G158" s="367"/>
      <c r="H158" s="367"/>
      <c r="I158" s="367"/>
      <c r="J158" s="368"/>
    </row>
    <row r="159" spans="1:10" x14ac:dyDescent="0.2">
      <c r="A159" s="366"/>
      <c r="B159" s="367"/>
      <c r="C159" s="367"/>
      <c r="D159" s="367"/>
      <c r="E159" s="367"/>
      <c r="F159" s="367"/>
      <c r="G159" s="367"/>
      <c r="H159" s="367"/>
      <c r="I159" s="367"/>
      <c r="J159" s="368"/>
    </row>
    <row r="160" spans="1:10" x14ac:dyDescent="0.2">
      <c r="A160" s="366"/>
      <c r="B160" s="367"/>
      <c r="C160" s="367"/>
      <c r="D160" s="367"/>
      <c r="E160" s="367"/>
      <c r="F160" s="367"/>
      <c r="G160" s="367"/>
      <c r="H160" s="367"/>
      <c r="I160" s="367"/>
      <c r="J160" s="368"/>
    </row>
    <row r="161" spans="1:10" x14ac:dyDescent="0.2">
      <c r="A161" s="366"/>
      <c r="B161" s="367"/>
      <c r="C161" s="367"/>
      <c r="D161" s="367"/>
      <c r="E161" s="367"/>
      <c r="F161" s="367"/>
      <c r="G161" s="367"/>
      <c r="H161" s="367"/>
      <c r="I161" s="367"/>
      <c r="J161" s="368"/>
    </row>
    <row r="162" spans="1:10" x14ac:dyDescent="0.2">
      <c r="A162" s="366"/>
      <c r="B162" s="367"/>
      <c r="C162" s="367"/>
      <c r="D162" s="367"/>
      <c r="E162" s="367"/>
      <c r="F162" s="367"/>
      <c r="G162" s="367"/>
      <c r="H162" s="367"/>
      <c r="I162" s="367"/>
      <c r="J162" s="368"/>
    </row>
    <row r="163" spans="1:10" x14ac:dyDescent="0.2">
      <c r="A163" s="366"/>
      <c r="B163" s="367"/>
      <c r="C163" s="367"/>
      <c r="D163" s="367"/>
      <c r="E163" s="367"/>
      <c r="F163" s="367"/>
      <c r="G163" s="367"/>
      <c r="H163" s="367"/>
      <c r="I163" s="367"/>
      <c r="J163" s="368"/>
    </row>
    <row r="164" spans="1:10" x14ac:dyDescent="0.2">
      <c r="A164" s="366"/>
      <c r="B164" s="367"/>
      <c r="C164" s="367"/>
      <c r="D164" s="367"/>
      <c r="E164" s="367"/>
      <c r="F164" s="367"/>
      <c r="G164" s="367"/>
      <c r="H164" s="367"/>
      <c r="I164" s="367"/>
      <c r="J164" s="368"/>
    </row>
    <row r="165" spans="1:10" x14ac:dyDescent="0.2">
      <c r="A165" s="369"/>
      <c r="B165" s="370"/>
      <c r="C165" s="370"/>
      <c r="D165" s="370"/>
      <c r="E165" s="370"/>
      <c r="F165" s="370"/>
      <c r="G165" s="370"/>
      <c r="H165" s="370"/>
      <c r="I165" s="370"/>
      <c r="J165" s="371"/>
    </row>
    <row r="167" spans="1:10" ht="15.75" x14ac:dyDescent="0.25">
      <c r="A167" s="280" t="s">
        <v>847</v>
      </c>
      <c r="B167" s="281"/>
      <c r="C167" s="281"/>
      <c r="D167" s="281"/>
      <c r="E167" s="281"/>
      <c r="F167" s="281"/>
      <c r="G167" s="281"/>
      <c r="H167" s="278" t="str">
        <f>'CONTACT INFORMATION'!$A$24</f>
        <v>Los Angeles</v>
      </c>
      <c r="I167" s="278"/>
      <c r="J167" s="279"/>
    </row>
    <row r="168" spans="1:10" x14ac:dyDescent="0.2">
      <c r="A168" s="124"/>
      <c r="B168" s="124"/>
      <c r="C168" s="124"/>
      <c r="D168" s="124"/>
      <c r="E168" s="124"/>
      <c r="F168" s="124"/>
      <c r="G168" s="124"/>
      <c r="H168" s="124"/>
      <c r="I168" s="124"/>
      <c r="J168" s="124"/>
    </row>
    <row r="169" spans="1:10" ht="15" x14ac:dyDescent="0.25">
      <c r="A169" s="387" t="s">
        <v>880</v>
      </c>
      <c r="B169" s="388"/>
      <c r="C169" s="388"/>
      <c r="D169" s="388"/>
      <c r="E169" s="388"/>
      <c r="F169" s="388"/>
      <c r="G169" s="388"/>
      <c r="H169" s="388"/>
      <c r="I169" s="388"/>
      <c r="J169" s="389"/>
    </row>
    <row r="170" spans="1:10" x14ac:dyDescent="0.2">
      <c r="A170" s="390" t="s">
        <v>853</v>
      </c>
      <c r="B170" s="391"/>
      <c r="C170" s="391"/>
      <c r="D170" s="392"/>
      <c r="E170" s="393" t="s">
        <v>952</v>
      </c>
      <c r="F170" s="394"/>
      <c r="G170" s="394"/>
      <c r="H170" s="394"/>
      <c r="I170" s="394"/>
      <c r="J170" s="395"/>
    </row>
    <row r="171" spans="1:10" x14ac:dyDescent="0.2">
      <c r="A171" s="399" t="s">
        <v>852</v>
      </c>
      <c r="B171" s="400"/>
      <c r="C171" s="400"/>
      <c r="D171" s="401"/>
      <c r="E171" s="396"/>
      <c r="F171" s="397"/>
      <c r="G171" s="397"/>
      <c r="H171" s="397"/>
      <c r="I171" s="397"/>
      <c r="J171" s="398"/>
    </row>
    <row r="172" spans="1:10" x14ac:dyDescent="0.2">
      <c r="A172" s="402" t="s">
        <v>808</v>
      </c>
      <c r="B172" s="403"/>
      <c r="C172" s="403"/>
      <c r="D172" s="404"/>
      <c r="E172" s="198"/>
      <c r="F172" s="471"/>
      <c r="G172" s="471"/>
      <c r="H172" s="471"/>
      <c r="I172" s="471"/>
      <c r="J172" s="472"/>
    </row>
    <row r="173" spans="1:10" x14ac:dyDescent="0.2">
      <c r="A173" s="118"/>
      <c r="B173" s="158"/>
      <c r="C173" s="158"/>
      <c r="D173" s="158"/>
      <c r="E173" s="378" t="s">
        <v>535</v>
      </c>
      <c r="F173" s="379"/>
      <c r="G173" s="378" t="s">
        <v>533</v>
      </c>
      <c r="H173" s="379"/>
      <c r="I173" s="380" t="s">
        <v>848</v>
      </c>
      <c r="J173" s="381"/>
    </row>
    <row r="174" spans="1:10" x14ac:dyDescent="0.2">
      <c r="A174" s="382" t="s">
        <v>527</v>
      </c>
      <c r="B174" s="383"/>
      <c r="C174" s="383"/>
      <c r="D174" s="384"/>
      <c r="E174" s="458"/>
      <c r="F174" s="459"/>
      <c r="G174" s="385"/>
      <c r="H174" s="385"/>
      <c r="I174" s="386"/>
      <c r="J174" s="386"/>
    </row>
    <row r="175" spans="1:10" x14ac:dyDescent="0.2">
      <c r="A175" s="372" t="s">
        <v>528</v>
      </c>
      <c r="B175" s="373"/>
      <c r="C175" s="373"/>
      <c r="D175" s="374"/>
      <c r="E175" s="473">
        <v>1590</v>
      </c>
      <c r="F175" s="474"/>
      <c r="G175" s="376"/>
      <c r="H175" s="376"/>
      <c r="I175" s="377"/>
      <c r="J175" s="377"/>
    </row>
    <row r="176" spans="1:10" x14ac:dyDescent="0.2">
      <c r="A176" s="382" t="s">
        <v>529</v>
      </c>
      <c r="B176" s="383"/>
      <c r="C176" s="383"/>
      <c r="D176" s="384"/>
      <c r="E176" s="458">
        <v>26</v>
      </c>
      <c r="F176" s="459"/>
      <c r="G176" s="385"/>
      <c r="H176" s="385"/>
      <c r="I176" s="386"/>
      <c r="J176" s="386"/>
    </row>
    <row r="177" spans="1:10" x14ac:dyDescent="0.2">
      <c r="A177" s="372" t="s">
        <v>530</v>
      </c>
      <c r="B177" s="373"/>
      <c r="C177" s="373"/>
      <c r="D177" s="374"/>
      <c r="E177" s="473"/>
      <c r="F177" s="474"/>
      <c r="G177" s="376"/>
      <c r="H177" s="376"/>
      <c r="I177" s="377"/>
      <c r="J177" s="377"/>
    </row>
    <row r="178" spans="1:10" x14ac:dyDescent="0.2">
      <c r="A178" s="382" t="s">
        <v>531</v>
      </c>
      <c r="B178" s="383"/>
      <c r="C178" s="383"/>
      <c r="D178" s="384"/>
      <c r="E178" s="458"/>
      <c r="F178" s="459"/>
      <c r="G178" s="385"/>
      <c r="H178" s="385"/>
      <c r="I178" s="386"/>
      <c r="J178" s="386"/>
    </row>
    <row r="179" spans="1:10" x14ac:dyDescent="0.2">
      <c r="A179" s="372" t="s">
        <v>532</v>
      </c>
      <c r="B179" s="373"/>
      <c r="C179" s="373"/>
      <c r="D179" s="374"/>
      <c r="E179" s="473">
        <v>7</v>
      </c>
      <c r="F179" s="474"/>
      <c r="G179" s="376"/>
      <c r="H179" s="376"/>
      <c r="I179" s="377"/>
      <c r="J179" s="377"/>
    </row>
    <row r="180" spans="1:10" x14ac:dyDescent="0.2">
      <c r="A180" s="382" t="s">
        <v>537</v>
      </c>
      <c r="B180" s="383"/>
      <c r="C180" s="383"/>
      <c r="D180" s="384"/>
      <c r="E180" s="418"/>
      <c r="F180" s="418"/>
      <c r="G180" s="418"/>
      <c r="H180" s="418"/>
      <c r="I180" s="419"/>
      <c r="J180" s="419"/>
    </row>
    <row r="181" spans="1:10" x14ac:dyDescent="0.2">
      <c r="A181" s="408" t="s">
        <v>964</v>
      </c>
      <c r="B181" s="409"/>
      <c r="C181" s="409"/>
      <c r="D181" s="410"/>
      <c r="E181" s="473">
        <v>12</v>
      </c>
      <c r="F181" s="474"/>
      <c r="G181" s="376"/>
      <c r="H181" s="376"/>
      <c r="I181" s="376"/>
      <c r="J181" s="376"/>
    </row>
    <row r="182" spans="1:10" x14ac:dyDescent="0.2">
      <c r="A182" s="408"/>
      <c r="B182" s="409"/>
      <c r="C182" s="409"/>
      <c r="D182" s="410"/>
      <c r="E182" s="375"/>
      <c r="F182" s="375"/>
      <c r="G182" s="376"/>
      <c r="H182" s="376"/>
      <c r="I182" s="376"/>
      <c r="J182" s="376"/>
    </row>
    <row r="183" spans="1:10" x14ac:dyDescent="0.2">
      <c r="A183" s="408"/>
      <c r="B183" s="409"/>
      <c r="C183" s="409"/>
      <c r="D183" s="410"/>
      <c r="E183" s="375"/>
      <c r="F183" s="375"/>
      <c r="G183" s="376"/>
      <c r="H183" s="376"/>
      <c r="I183" s="376"/>
      <c r="J183" s="376"/>
    </row>
    <row r="184" spans="1:10" x14ac:dyDescent="0.2">
      <c r="A184" s="411" t="s">
        <v>534</v>
      </c>
      <c r="B184" s="412"/>
      <c r="C184" s="412"/>
      <c r="D184" s="413"/>
      <c r="E184" s="414">
        <f>SUM(E174:E183)</f>
        <v>1635</v>
      </c>
      <c r="F184" s="414"/>
      <c r="G184" s="414">
        <f>SUM(G174:G183)</f>
        <v>0</v>
      </c>
      <c r="H184" s="414"/>
      <c r="I184" s="414">
        <f>SUM(I174:I183)</f>
        <v>0</v>
      </c>
      <c r="J184" s="414"/>
    </row>
    <row r="185" spans="1:10" x14ac:dyDescent="0.2">
      <c r="A185" s="415" t="s">
        <v>860</v>
      </c>
      <c r="B185" s="416"/>
      <c r="C185" s="416"/>
      <c r="D185" s="416"/>
      <c r="E185" s="416"/>
      <c r="F185" s="416"/>
      <c r="G185" s="416"/>
      <c r="H185" s="416"/>
      <c r="I185" s="416"/>
      <c r="J185" s="417"/>
    </row>
    <row r="186" spans="1:10" x14ac:dyDescent="0.2">
      <c r="A186" s="358" t="s">
        <v>861</v>
      </c>
      <c r="B186" s="359"/>
      <c r="C186" s="359"/>
      <c r="D186" s="359"/>
      <c r="E186" s="359"/>
      <c r="F186" s="359"/>
      <c r="G186" s="359"/>
      <c r="H186" s="359"/>
      <c r="I186" s="359"/>
      <c r="J186" s="360"/>
    </row>
    <row r="187" spans="1:10" x14ac:dyDescent="0.2">
      <c r="A187" s="358" t="s">
        <v>862</v>
      </c>
      <c r="B187" s="359"/>
      <c r="C187" s="359"/>
      <c r="D187" s="359"/>
      <c r="E187" s="359"/>
      <c r="F187" s="359"/>
      <c r="G187" s="359"/>
      <c r="H187" s="359"/>
      <c r="I187" s="359"/>
      <c r="J187" s="360"/>
    </row>
    <row r="188" spans="1:10" x14ac:dyDescent="0.2">
      <c r="A188" s="361" t="s">
        <v>863</v>
      </c>
      <c r="B188" s="362"/>
      <c r="C188" s="362"/>
      <c r="D188" s="362"/>
      <c r="E188" s="362"/>
      <c r="F188" s="362"/>
      <c r="G188" s="362"/>
      <c r="H188" s="362"/>
      <c r="I188" s="362"/>
      <c r="J188" s="363"/>
    </row>
    <row r="189" spans="1:10" x14ac:dyDescent="0.2">
      <c r="A189" s="233" t="s">
        <v>987</v>
      </c>
      <c r="B189" s="364"/>
      <c r="C189" s="364"/>
      <c r="D189" s="364"/>
      <c r="E189" s="364"/>
      <c r="F189" s="364"/>
      <c r="G189" s="364"/>
      <c r="H189" s="364"/>
      <c r="I189" s="364"/>
      <c r="J189" s="365"/>
    </row>
    <row r="190" spans="1:10" x14ac:dyDescent="0.2">
      <c r="A190" s="366"/>
      <c r="B190" s="367"/>
      <c r="C190" s="367"/>
      <c r="D190" s="367"/>
      <c r="E190" s="367"/>
      <c r="F190" s="367"/>
      <c r="G190" s="367"/>
      <c r="H190" s="367"/>
      <c r="I190" s="367"/>
      <c r="J190" s="368"/>
    </row>
    <row r="191" spans="1:10" x14ac:dyDescent="0.2">
      <c r="A191" s="366"/>
      <c r="B191" s="367"/>
      <c r="C191" s="367"/>
      <c r="D191" s="367"/>
      <c r="E191" s="367"/>
      <c r="F191" s="367"/>
      <c r="G191" s="367"/>
      <c r="H191" s="367"/>
      <c r="I191" s="367"/>
      <c r="J191" s="368"/>
    </row>
    <row r="192" spans="1:10" x14ac:dyDescent="0.2">
      <c r="A192" s="366"/>
      <c r="B192" s="367"/>
      <c r="C192" s="367"/>
      <c r="D192" s="367"/>
      <c r="E192" s="367"/>
      <c r="F192" s="367"/>
      <c r="G192" s="367"/>
      <c r="H192" s="367"/>
      <c r="I192" s="367"/>
      <c r="J192" s="368"/>
    </row>
    <row r="193" spans="1:10" x14ac:dyDescent="0.2">
      <c r="A193" s="366"/>
      <c r="B193" s="367"/>
      <c r="C193" s="367"/>
      <c r="D193" s="367"/>
      <c r="E193" s="367"/>
      <c r="F193" s="367"/>
      <c r="G193" s="367"/>
      <c r="H193" s="367"/>
      <c r="I193" s="367"/>
      <c r="J193" s="368"/>
    </row>
    <row r="194" spans="1:10" x14ac:dyDescent="0.2">
      <c r="A194" s="366"/>
      <c r="B194" s="367"/>
      <c r="C194" s="367"/>
      <c r="D194" s="367"/>
      <c r="E194" s="367"/>
      <c r="F194" s="367"/>
      <c r="G194" s="367"/>
      <c r="H194" s="367"/>
      <c r="I194" s="367"/>
      <c r="J194" s="368"/>
    </row>
    <row r="195" spans="1:10" x14ac:dyDescent="0.2">
      <c r="A195" s="366"/>
      <c r="B195" s="367"/>
      <c r="C195" s="367"/>
      <c r="D195" s="367"/>
      <c r="E195" s="367"/>
      <c r="F195" s="367"/>
      <c r="G195" s="367"/>
      <c r="H195" s="367"/>
      <c r="I195" s="367"/>
      <c r="J195" s="368"/>
    </row>
    <row r="196" spans="1:10" x14ac:dyDescent="0.2">
      <c r="A196" s="366"/>
      <c r="B196" s="367"/>
      <c r="C196" s="367"/>
      <c r="D196" s="367"/>
      <c r="E196" s="367"/>
      <c r="F196" s="367"/>
      <c r="G196" s="367"/>
      <c r="H196" s="367"/>
      <c r="I196" s="367"/>
      <c r="J196" s="368"/>
    </row>
    <row r="197" spans="1:10" x14ac:dyDescent="0.2">
      <c r="A197" s="366"/>
      <c r="B197" s="367"/>
      <c r="C197" s="367"/>
      <c r="D197" s="367"/>
      <c r="E197" s="367"/>
      <c r="F197" s="367"/>
      <c r="G197" s="367"/>
      <c r="H197" s="367"/>
      <c r="I197" s="367"/>
      <c r="J197" s="368"/>
    </row>
    <row r="198" spans="1:10" x14ac:dyDescent="0.2">
      <c r="A198" s="366"/>
      <c r="B198" s="367"/>
      <c r="C198" s="367"/>
      <c r="D198" s="367"/>
      <c r="E198" s="367"/>
      <c r="F198" s="367"/>
      <c r="G198" s="367"/>
      <c r="H198" s="367"/>
      <c r="I198" s="367"/>
      <c r="J198" s="368"/>
    </row>
    <row r="199" spans="1:10" x14ac:dyDescent="0.2">
      <c r="A199" s="366"/>
      <c r="B199" s="367"/>
      <c r="C199" s="367"/>
      <c r="D199" s="367"/>
      <c r="E199" s="367"/>
      <c r="F199" s="367"/>
      <c r="G199" s="367"/>
      <c r="H199" s="367"/>
      <c r="I199" s="367"/>
      <c r="J199" s="368"/>
    </row>
    <row r="200" spans="1:10" x14ac:dyDescent="0.2">
      <c r="A200" s="366"/>
      <c r="B200" s="367"/>
      <c r="C200" s="367"/>
      <c r="D200" s="367"/>
      <c r="E200" s="367"/>
      <c r="F200" s="367"/>
      <c r="G200" s="367"/>
      <c r="H200" s="367"/>
      <c r="I200" s="367"/>
      <c r="J200" s="368"/>
    </row>
    <row r="201" spans="1:10" x14ac:dyDescent="0.2">
      <c r="A201" s="366"/>
      <c r="B201" s="367"/>
      <c r="C201" s="367"/>
      <c r="D201" s="367"/>
      <c r="E201" s="367"/>
      <c r="F201" s="367"/>
      <c r="G201" s="367"/>
      <c r="H201" s="367"/>
      <c r="I201" s="367"/>
      <c r="J201" s="368"/>
    </row>
    <row r="202" spans="1:10" x14ac:dyDescent="0.2">
      <c r="A202" s="366"/>
      <c r="B202" s="367"/>
      <c r="C202" s="367"/>
      <c r="D202" s="367"/>
      <c r="E202" s="367"/>
      <c r="F202" s="367"/>
      <c r="G202" s="367"/>
      <c r="H202" s="367"/>
      <c r="I202" s="367"/>
      <c r="J202" s="368"/>
    </row>
    <row r="203" spans="1:10" x14ac:dyDescent="0.2">
      <c r="A203" s="366"/>
      <c r="B203" s="367"/>
      <c r="C203" s="367"/>
      <c r="D203" s="367"/>
      <c r="E203" s="367"/>
      <c r="F203" s="367"/>
      <c r="G203" s="367"/>
      <c r="H203" s="367"/>
      <c r="I203" s="367"/>
      <c r="J203" s="368"/>
    </row>
    <row r="204" spans="1:10" x14ac:dyDescent="0.2">
      <c r="A204" s="366"/>
      <c r="B204" s="367"/>
      <c r="C204" s="367"/>
      <c r="D204" s="367"/>
      <c r="E204" s="367"/>
      <c r="F204" s="367"/>
      <c r="G204" s="367"/>
      <c r="H204" s="367"/>
      <c r="I204" s="367"/>
      <c r="J204" s="368"/>
    </row>
    <row r="205" spans="1:10" x14ac:dyDescent="0.2">
      <c r="A205" s="366"/>
      <c r="B205" s="367"/>
      <c r="C205" s="367"/>
      <c r="D205" s="367"/>
      <c r="E205" s="367"/>
      <c r="F205" s="367"/>
      <c r="G205" s="367"/>
      <c r="H205" s="367"/>
      <c r="I205" s="367"/>
      <c r="J205" s="368"/>
    </row>
    <row r="206" spans="1:10" x14ac:dyDescent="0.2">
      <c r="A206" s="366"/>
      <c r="B206" s="367"/>
      <c r="C206" s="367"/>
      <c r="D206" s="367"/>
      <c r="E206" s="367"/>
      <c r="F206" s="367"/>
      <c r="G206" s="367"/>
      <c r="H206" s="367"/>
      <c r="I206" s="367"/>
      <c r="J206" s="368"/>
    </row>
    <row r="207" spans="1:10" x14ac:dyDescent="0.2">
      <c r="A207" s="366"/>
      <c r="B207" s="367"/>
      <c r="C207" s="367"/>
      <c r="D207" s="367"/>
      <c r="E207" s="367"/>
      <c r="F207" s="367"/>
      <c r="G207" s="367"/>
      <c r="H207" s="367"/>
      <c r="I207" s="367"/>
      <c r="J207" s="368"/>
    </row>
    <row r="208" spans="1:10" x14ac:dyDescent="0.2">
      <c r="A208" s="366"/>
      <c r="B208" s="367"/>
      <c r="C208" s="367"/>
      <c r="D208" s="367"/>
      <c r="E208" s="367"/>
      <c r="F208" s="367"/>
      <c r="G208" s="367"/>
      <c r="H208" s="367"/>
      <c r="I208" s="367"/>
      <c r="J208" s="368"/>
    </row>
    <row r="209" spans="1:10" x14ac:dyDescent="0.2">
      <c r="A209" s="366"/>
      <c r="B209" s="367"/>
      <c r="C209" s="367"/>
      <c r="D209" s="367"/>
      <c r="E209" s="367"/>
      <c r="F209" s="367"/>
      <c r="G209" s="367"/>
      <c r="H209" s="367"/>
      <c r="I209" s="367"/>
      <c r="J209" s="368"/>
    </row>
    <row r="210" spans="1:10" x14ac:dyDescent="0.2">
      <c r="A210" s="366"/>
      <c r="B210" s="367"/>
      <c r="C210" s="367"/>
      <c r="D210" s="367"/>
      <c r="E210" s="367"/>
      <c r="F210" s="367"/>
      <c r="G210" s="367"/>
      <c r="H210" s="367"/>
      <c r="I210" s="367"/>
      <c r="J210" s="368"/>
    </row>
    <row r="211" spans="1:10" x14ac:dyDescent="0.2">
      <c r="A211" s="366"/>
      <c r="B211" s="367"/>
      <c r="C211" s="367"/>
      <c r="D211" s="367"/>
      <c r="E211" s="367"/>
      <c r="F211" s="367"/>
      <c r="G211" s="367"/>
      <c r="H211" s="367"/>
      <c r="I211" s="367"/>
      <c r="J211" s="368"/>
    </row>
    <row r="212" spans="1:10" x14ac:dyDescent="0.2">
      <c r="A212" s="366"/>
      <c r="B212" s="367"/>
      <c r="C212" s="367"/>
      <c r="D212" s="367"/>
      <c r="E212" s="367"/>
      <c r="F212" s="367"/>
      <c r="G212" s="367"/>
      <c r="H212" s="367"/>
      <c r="I212" s="367"/>
      <c r="J212" s="368"/>
    </row>
    <row r="213" spans="1:10" x14ac:dyDescent="0.2">
      <c r="A213" s="366"/>
      <c r="B213" s="367"/>
      <c r="C213" s="367"/>
      <c r="D213" s="367"/>
      <c r="E213" s="367"/>
      <c r="F213" s="367"/>
      <c r="G213" s="367"/>
      <c r="H213" s="367"/>
      <c r="I213" s="367"/>
      <c r="J213" s="368"/>
    </row>
    <row r="214" spans="1:10" x14ac:dyDescent="0.2">
      <c r="A214" s="366"/>
      <c r="B214" s="367"/>
      <c r="C214" s="367"/>
      <c r="D214" s="367"/>
      <c r="E214" s="367"/>
      <c r="F214" s="367"/>
      <c r="G214" s="367"/>
      <c r="H214" s="367"/>
      <c r="I214" s="367"/>
      <c r="J214" s="368"/>
    </row>
    <row r="215" spans="1:10" x14ac:dyDescent="0.2">
      <c r="A215" s="366"/>
      <c r="B215" s="367"/>
      <c r="C215" s="367"/>
      <c r="D215" s="367"/>
      <c r="E215" s="367"/>
      <c r="F215" s="367"/>
      <c r="G215" s="367"/>
      <c r="H215" s="367"/>
      <c r="I215" s="367"/>
      <c r="J215" s="368"/>
    </row>
    <row r="216" spans="1:10" x14ac:dyDescent="0.2">
      <c r="A216" s="366"/>
      <c r="B216" s="367"/>
      <c r="C216" s="367"/>
      <c r="D216" s="367"/>
      <c r="E216" s="367"/>
      <c r="F216" s="367"/>
      <c r="G216" s="367"/>
      <c r="H216" s="367"/>
      <c r="I216" s="367"/>
      <c r="J216" s="368"/>
    </row>
    <row r="217" spans="1:10" x14ac:dyDescent="0.2">
      <c r="A217" s="366"/>
      <c r="B217" s="367"/>
      <c r="C217" s="367"/>
      <c r="D217" s="367"/>
      <c r="E217" s="367"/>
      <c r="F217" s="367"/>
      <c r="G217" s="367"/>
      <c r="H217" s="367"/>
      <c r="I217" s="367"/>
      <c r="J217" s="368"/>
    </row>
    <row r="218" spans="1:10" x14ac:dyDescent="0.2">
      <c r="A218" s="366"/>
      <c r="B218" s="367"/>
      <c r="C218" s="367"/>
      <c r="D218" s="367"/>
      <c r="E218" s="367"/>
      <c r="F218" s="367"/>
      <c r="G218" s="367"/>
      <c r="H218" s="367"/>
      <c r="I218" s="367"/>
      <c r="J218" s="368"/>
    </row>
    <row r="219" spans="1:10" x14ac:dyDescent="0.2">
      <c r="A219" s="366"/>
      <c r="B219" s="367"/>
      <c r="C219" s="367"/>
      <c r="D219" s="367"/>
      <c r="E219" s="367"/>
      <c r="F219" s="367"/>
      <c r="G219" s="367"/>
      <c r="H219" s="367"/>
      <c r="I219" s="367"/>
      <c r="J219" s="368"/>
    </row>
    <row r="220" spans="1:10" x14ac:dyDescent="0.2">
      <c r="A220" s="369"/>
      <c r="B220" s="370"/>
      <c r="C220" s="370"/>
      <c r="D220" s="370"/>
      <c r="E220" s="370"/>
      <c r="F220" s="370"/>
      <c r="G220" s="370"/>
      <c r="H220" s="370"/>
      <c r="I220" s="370"/>
      <c r="J220" s="371"/>
    </row>
    <row r="222" spans="1:10" ht="15.75" x14ac:dyDescent="0.25">
      <c r="A222" s="280" t="s">
        <v>847</v>
      </c>
      <c r="B222" s="281"/>
      <c r="C222" s="281"/>
      <c r="D222" s="281"/>
      <c r="E222" s="281"/>
      <c r="F222" s="281"/>
      <c r="G222" s="281"/>
      <c r="H222" s="278" t="str">
        <f>'CONTACT INFORMATION'!$A$24</f>
        <v>Los Angeles</v>
      </c>
      <c r="I222" s="278"/>
      <c r="J222" s="279"/>
    </row>
    <row r="223" spans="1:10" x14ac:dyDescent="0.2">
      <c r="A223" s="124"/>
      <c r="B223" s="124"/>
      <c r="C223" s="124"/>
      <c r="D223" s="124"/>
      <c r="E223" s="124"/>
      <c r="F223" s="124"/>
      <c r="G223" s="124"/>
      <c r="H223" s="124"/>
      <c r="I223" s="124"/>
      <c r="J223" s="124"/>
    </row>
    <row r="224" spans="1:10" ht="15" x14ac:dyDescent="0.25">
      <c r="A224" s="387" t="s">
        <v>881</v>
      </c>
      <c r="B224" s="388"/>
      <c r="C224" s="388"/>
      <c r="D224" s="388"/>
      <c r="E224" s="388"/>
      <c r="F224" s="388"/>
      <c r="G224" s="388"/>
      <c r="H224" s="388"/>
      <c r="I224" s="388"/>
      <c r="J224" s="389"/>
    </row>
    <row r="225" spans="1:10" x14ac:dyDescent="0.2">
      <c r="A225" s="390" t="s">
        <v>853</v>
      </c>
      <c r="B225" s="391"/>
      <c r="C225" s="391"/>
      <c r="D225" s="392"/>
      <c r="E225" s="393" t="s">
        <v>953</v>
      </c>
      <c r="F225" s="394"/>
      <c r="G225" s="394"/>
      <c r="H225" s="394"/>
      <c r="I225" s="394"/>
      <c r="J225" s="395"/>
    </row>
    <row r="226" spans="1:10" x14ac:dyDescent="0.2">
      <c r="A226" s="399" t="s">
        <v>852</v>
      </c>
      <c r="B226" s="400"/>
      <c r="C226" s="400"/>
      <c r="D226" s="401"/>
      <c r="E226" s="396"/>
      <c r="F226" s="397"/>
      <c r="G226" s="397"/>
      <c r="H226" s="397"/>
      <c r="I226" s="397"/>
      <c r="J226" s="398"/>
    </row>
    <row r="227" spans="1:10" x14ac:dyDescent="0.2">
      <c r="A227" s="402" t="s">
        <v>808</v>
      </c>
      <c r="B227" s="403"/>
      <c r="C227" s="403"/>
      <c r="D227" s="404"/>
      <c r="E227" s="198"/>
      <c r="F227" s="471"/>
      <c r="G227" s="471"/>
      <c r="H227" s="471"/>
      <c r="I227" s="471"/>
      <c r="J227" s="472"/>
    </row>
    <row r="228" spans="1:10" x14ac:dyDescent="0.2">
      <c r="A228" s="118"/>
      <c r="B228" s="158"/>
      <c r="C228" s="158"/>
      <c r="D228" s="158"/>
      <c r="E228" s="378" t="s">
        <v>535</v>
      </c>
      <c r="F228" s="379"/>
      <c r="G228" s="378" t="s">
        <v>533</v>
      </c>
      <c r="H228" s="379"/>
      <c r="I228" s="380" t="s">
        <v>848</v>
      </c>
      <c r="J228" s="381"/>
    </row>
    <row r="229" spans="1:10" x14ac:dyDescent="0.2">
      <c r="A229" s="382" t="s">
        <v>527</v>
      </c>
      <c r="B229" s="383"/>
      <c r="C229" s="383"/>
      <c r="D229" s="384"/>
      <c r="E229" s="385"/>
      <c r="F229" s="385"/>
      <c r="G229" s="385"/>
      <c r="H229" s="385"/>
      <c r="I229" s="386"/>
      <c r="J229" s="386"/>
    </row>
    <row r="230" spans="1:10" x14ac:dyDescent="0.2">
      <c r="A230" s="372" t="s">
        <v>528</v>
      </c>
      <c r="B230" s="373"/>
      <c r="C230" s="373"/>
      <c r="D230" s="374"/>
      <c r="E230" s="473">
        <v>488695</v>
      </c>
      <c r="F230" s="474"/>
      <c r="G230" s="376"/>
      <c r="H230" s="376"/>
      <c r="I230" s="377"/>
      <c r="J230" s="377"/>
    </row>
    <row r="231" spans="1:10" x14ac:dyDescent="0.2">
      <c r="A231" s="382" t="s">
        <v>529</v>
      </c>
      <c r="B231" s="383"/>
      <c r="C231" s="383"/>
      <c r="D231" s="384"/>
      <c r="E231" s="458">
        <v>14147</v>
      </c>
      <c r="F231" s="459"/>
      <c r="G231" s="385"/>
      <c r="H231" s="385"/>
      <c r="I231" s="386"/>
      <c r="J231" s="386"/>
    </row>
    <row r="232" spans="1:10" x14ac:dyDescent="0.2">
      <c r="A232" s="372" t="s">
        <v>530</v>
      </c>
      <c r="B232" s="373"/>
      <c r="C232" s="373"/>
      <c r="D232" s="374"/>
      <c r="E232" s="473">
        <v>382345</v>
      </c>
      <c r="F232" s="474"/>
      <c r="G232" s="376"/>
      <c r="H232" s="376"/>
      <c r="I232" s="377"/>
      <c r="J232" s="377"/>
    </row>
    <row r="233" spans="1:10" x14ac:dyDescent="0.2">
      <c r="A233" s="382" t="s">
        <v>531</v>
      </c>
      <c r="B233" s="383"/>
      <c r="C233" s="383"/>
      <c r="D233" s="384"/>
      <c r="E233" s="458"/>
      <c r="F233" s="459"/>
      <c r="G233" s="385"/>
      <c r="H233" s="385"/>
      <c r="I233" s="386"/>
      <c r="J233" s="386"/>
    </row>
    <row r="234" spans="1:10" x14ac:dyDescent="0.2">
      <c r="A234" s="372" t="s">
        <v>532</v>
      </c>
      <c r="B234" s="373"/>
      <c r="C234" s="373"/>
      <c r="D234" s="374"/>
      <c r="E234" s="473">
        <v>4056</v>
      </c>
      <c r="F234" s="474"/>
      <c r="G234" s="376"/>
      <c r="H234" s="376"/>
      <c r="I234" s="377"/>
      <c r="J234" s="377"/>
    </row>
    <row r="235" spans="1:10" x14ac:dyDescent="0.2">
      <c r="A235" s="382" t="s">
        <v>537</v>
      </c>
      <c r="B235" s="383"/>
      <c r="C235" s="383"/>
      <c r="D235" s="384"/>
      <c r="E235" s="418"/>
      <c r="F235" s="418"/>
      <c r="G235" s="418"/>
      <c r="H235" s="418"/>
      <c r="I235" s="419"/>
      <c r="J235" s="419"/>
    </row>
    <row r="236" spans="1:10" x14ac:dyDescent="0.2">
      <c r="A236" s="408" t="s">
        <v>964</v>
      </c>
      <c r="B236" s="409"/>
      <c r="C236" s="409"/>
      <c r="D236" s="410"/>
      <c r="E236" s="473">
        <v>6740</v>
      </c>
      <c r="F236" s="474"/>
      <c r="G236" s="376"/>
      <c r="H236" s="376"/>
      <c r="I236" s="376"/>
      <c r="J236" s="376"/>
    </row>
    <row r="237" spans="1:10" x14ac:dyDescent="0.2">
      <c r="A237" s="408"/>
      <c r="B237" s="409"/>
      <c r="C237" s="409"/>
      <c r="D237" s="410"/>
      <c r="E237" s="375"/>
      <c r="F237" s="375"/>
      <c r="G237" s="376"/>
      <c r="H237" s="376"/>
      <c r="I237" s="376"/>
      <c r="J237" s="376"/>
    </row>
    <row r="238" spans="1:10" x14ac:dyDescent="0.2">
      <c r="A238" s="408"/>
      <c r="B238" s="409"/>
      <c r="C238" s="409"/>
      <c r="D238" s="410"/>
      <c r="E238" s="375"/>
      <c r="F238" s="375"/>
      <c r="G238" s="376"/>
      <c r="H238" s="376"/>
      <c r="I238" s="376"/>
      <c r="J238" s="376"/>
    </row>
    <row r="239" spans="1:10" x14ac:dyDescent="0.2">
      <c r="A239" s="411" t="s">
        <v>534</v>
      </c>
      <c r="B239" s="412"/>
      <c r="C239" s="412"/>
      <c r="D239" s="413"/>
      <c r="E239" s="414">
        <f>SUM(E229:E238)</f>
        <v>895983</v>
      </c>
      <c r="F239" s="414"/>
      <c r="G239" s="414">
        <f>SUM(G229:G238)</f>
        <v>0</v>
      </c>
      <c r="H239" s="414"/>
      <c r="I239" s="414">
        <f>SUM(I229:I238)</f>
        <v>0</v>
      </c>
      <c r="J239" s="414"/>
    </row>
    <row r="240" spans="1:10" x14ac:dyDescent="0.2">
      <c r="A240" s="415" t="s">
        <v>860</v>
      </c>
      <c r="B240" s="416"/>
      <c r="C240" s="416"/>
      <c r="D240" s="416"/>
      <c r="E240" s="416"/>
      <c r="F240" s="416"/>
      <c r="G240" s="416"/>
      <c r="H240" s="416"/>
      <c r="I240" s="416"/>
      <c r="J240" s="417"/>
    </row>
    <row r="241" spans="1:10" x14ac:dyDescent="0.2">
      <c r="A241" s="358" t="s">
        <v>861</v>
      </c>
      <c r="B241" s="359"/>
      <c r="C241" s="359"/>
      <c r="D241" s="359"/>
      <c r="E241" s="359"/>
      <c r="F241" s="359"/>
      <c r="G241" s="359"/>
      <c r="H241" s="359"/>
      <c r="I241" s="359"/>
      <c r="J241" s="360"/>
    </row>
    <row r="242" spans="1:10" x14ac:dyDescent="0.2">
      <c r="A242" s="358" t="s">
        <v>862</v>
      </c>
      <c r="B242" s="359"/>
      <c r="C242" s="359"/>
      <c r="D242" s="359"/>
      <c r="E242" s="359"/>
      <c r="F242" s="359"/>
      <c r="G242" s="359"/>
      <c r="H242" s="359"/>
      <c r="I242" s="359"/>
      <c r="J242" s="360"/>
    </row>
    <row r="243" spans="1:10" x14ac:dyDescent="0.2">
      <c r="A243" s="361" t="s">
        <v>863</v>
      </c>
      <c r="B243" s="362"/>
      <c r="C243" s="362"/>
      <c r="D243" s="362"/>
      <c r="E243" s="362"/>
      <c r="F243" s="362"/>
      <c r="G243" s="362"/>
      <c r="H243" s="362"/>
      <c r="I243" s="362"/>
      <c r="J243" s="363"/>
    </row>
    <row r="244" spans="1:10" x14ac:dyDescent="0.2">
      <c r="A244" s="233" t="s">
        <v>973</v>
      </c>
      <c r="B244" s="364"/>
      <c r="C244" s="364"/>
      <c r="D244" s="364"/>
      <c r="E244" s="364"/>
      <c r="F244" s="364"/>
      <c r="G244" s="364"/>
      <c r="H244" s="364"/>
      <c r="I244" s="364"/>
      <c r="J244" s="365"/>
    </row>
    <row r="245" spans="1:10" x14ac:dyDescent="0.2">
      <c r="A245" s="366"/>
      <c r="B245" s="367"/>
      <c r="C245" s="367"/>
      <c r="D245" s="367"/>
      <c r="E245" s="367"/>
      <c r="F245" s="367"/>
      <c r="G245" s="367"/>
      <c r="H245" s="367"/>
      <c r="I245" s="367"/>
      <c r="J245" s="368"/>
    </row>
    <row r="246" spans="1:10" x14ac:dyDescent="0.2">
      <c r="A246" s="366"/>
      <c r="B246" s="367"/>
      <c r="C246" s="367"/>
      <c r="D246" s="367"/>
      <c r="E246" s="367"/>
      <c r="F246" s="367"/>
      <c r="G246" s="367"/>
      <c r="H246" s="367"/>
      <c r="I246" s="367"/>
      <c r="J246" s="368"/>
    </row>
    <row r="247" spans="1:10" x14ac:dyDescent="0.2">
      <c r="A247" s="366"/>
      <c r="B247" s="367"/>
      <c r="C247" s="367"/>
      <c r="D247" s="367"/>
      <c r="E247" s="367"/>
      <c r="F247" s="367"/>
      <c r="G247" s="367"/>
      <c r="H247" s="367"/>
      <c r="I247" s="367"/>
      <c r="J247" s="368"/>
    </row>
    <row r="248" spans="1:10" x14ac:dyDescent="0.2">
      <c r="A248" s="366"/>
      <c r="B248" s="367"/>
      <c r="C248" s="367"/>
      <c r="D248" s="367"/>
      <c r="E248" s="367"/>
      <c r="F248" s="367"/>
      <c r="G248" s="367"/>
      <c r="H248" s="367"/>
      <c r="I248" s="367"/>
      <c r="J248" s="368"/>
    </row>
    <row r="249" spans="1:10" x14ac:dyDescent="0.2">
      <c r="A249" s="366"/>
      <c r="B249" s="367"/>
      <c r="C249" s="367"/>
      <c r="D249" s="367"/>
      <c r="E249" s="367"/>
      <c r="F249" s="367"/>
      <c r="G249" s="367"/>
      <c r="H249" s="367"/>
      <c r="I249" s="367"/>
      <c r="J249" s="368"/>
    </row>
    <row r="250" spans="1:10" x14ac:dyDescent="0.2">
      <c r="A250" s="366"/>
      <c r="B250" s="367"/>
      <c r="C250" s="367"/>
      <c r="D250" s="367"/>
      <c r="E250" s="367"/>
      <c r="F250" s="367"/>
      <c r="G250" s="367"/>
      <c r="H250" s="367"/>
      <c r="I250" s="367"/>
      <c r="J250" s="368"/>
    </row>
    <row r="251" spans="1:10" x14ac:dyDescent="0.2">
      <c r="A251" s="366"/>
      <c r="B251" s="367"/>
      <c r="C251" s="367"/>
      <c r="D251" s="367"/>
      <c r="E251" s="367"/>
      <c r="F251" s="367"/>
      <c r="G251" s="367"/>
      <c r="H251" s="367"/>
      <c r="I251" s="367"/>
      <c r="J251" s="368"/>
    </row>
    <row r="252" spans="1:10" x14ac:dyDescent="0.2">
      <c r="A252" s="366"/>
      <c r="B252" s="367"/>
      <c r="C252" s="367"/>
      <c r="D252" s="367"/>
      <c r="E252" s="367"/>
      <c r="F252" s="367"/>
      <c r="G252" s="367"/>
      <c r="H252" s="367"/>
      <c r="I252" s="367"/>
      <c r="J252" s="368"/>
    </row>
    <row r="253" spans="1:10" x14ac:dyDescent="0.2">
      <c r="A253" s="366"/>
      <c r="B253" s="367"/>
      <c r="C253" s="367"/>
      <c r="D253" s="367"/>
      <c r="E253" s="367"/>
      <c r="F253" s="367"/>
      <c r="G253" s="367"/>
      <c r="H253" s="367"/>
      <c r="I253" s="367"/>
      <c r="J253" s="368"/>
    </row>
    <row r="254" spans="1:10" x14ac:dyDescent="0.2">
      <c r="A254" s="366"/>
      <c r="B254" s="367"/>
      <c r="C254" s="367"/>
      <c r="D254" s="367"/>
      <c r="E254" s="367"/>
      <c r="F254" s="367"/>
      <c r="G254" s="367"/>
      <c r="H254" s="367"/>
      <c r="I254" s="367"/>
      <c r="J254" s="368"/>
    </row>
    <row r="255" spans="1:10" x14ac:dyDescent="0.2">
      <c r="A255" s="366"/>
      <c r="B255" s="367"/>
      <c r="C255" s="367"/>
      <c r="D255" s="367"/>
      <c r="E255" s="367"/>
      <c r="F255" s="367"/>
      <c r="G255" s="367"/>
      <c r="H255" s="367"/>
      <c r="I255" s="367"/>
      <c r="J255" s="368"/>
    </row>
    <row r="256" spans="1:10" x14ac:dyDescent="0.2">
      <c r="A256" s="366"/>
      <c r="B256" s="367"/>
      <c r="C256" s="367"/>
      <c r="D256" s="367"/>
      <c r="E256" s="367"/>
      <c r="F256" s="367"/>
      <c r="G256" s="367"/>
      <c r="H256" s="367"/>
      <c r="I256" s="367"/>
      <c r="J256" s="368"/>
    </row>
    <row r="257" spans="1:10" x14ac:dyDescent="0.2">
      <c r="A257" s="366"/>
      <c r="B257" s="367"/>
      <c r="C257" s="367"/>
      <c r="D257" s="367"/>
      <c r="E257" s="367"/>
      <c r="F257" s="367"/>
      <c r="G257" s="367"/>
      <c r="H257" s="367"/>
      <c r="I257" s="367"/>
      <c r="J257" s="368"/>
    </row>
    <row r="258" spans="1:10" x14ac:dyDescent="0.2">
      <c r="A258" s="366"/>
      <c r="B258" s="367"/>
      <c r="C258" s="367"/>
      <c r="D258" s="367"/>
      <c r="E258" s="367"/>
      <c r="F258" s="367"/>
      <c r="G258" s="367"/>
      <c r="H258" s="367"/>
      <c r="I258" s="367"/>
      <c r="J258" s="368"/>
    </row>
    <row r="259" spans="1:10" x14ac:dyDescent="0.2">
      <c r="A259" s="366"/>
      <c r="B259" s="367"/>
      <c r="C259" s="367"/>
      <c r="D259" s="367"/>
      <c r="E259" s="367"/>
      <c r="F259" s="367"/>
      <c r="G259" s="367"/>
      <c r="H259" s="367"/>
      <c r="I259" s="367"/>
      <c r="J259" s="368"/>
    </row>
    <row r="260" spans="1:10" x14ac:dyDescent="0.2">
      <c r="A260" s="366"/>
      <c r="B260" s="367"/>
      <c r="C260" s="367"/>
      <c r="D260" s="367"/>
      <c r="E260" s="367"/>
      <c r="F260" s="367"/>
      <c r="G260" s="367"/>
      <c r="H260" s="367"/>
      <c r="I260" s="367"/>
      <c r="J260" s="368"/>
    </row>
    <row r="261" spans="1:10" x14ac:dyDescent="0.2">
      <c r="A261" s="366"/>
      <c r="B261" s="367"/>
      <c r="C261" s="367"/>
      <c r="D261" s="367"/>
      <c r="E261" s="367"/>
      <c r="F261" s="367"/>
      <c r="G261" s="367"/>
      <c r="H261" s="367"/>
      <c r="I261" s="367"/>
      <c r="J261" s="368"/>
    </row>
    <row r="262" spans="1:10" x14ac:dyDescent="0.2">
      <c r="A262" s="366"/>
      <c r="B262" s="367"/>
      <c r="C262" s="367"/>
      <c r="D262" s="367"/>
      <c r="E262" s="367"/>
      <c r="F262" s="367"/>
      <c r="G262" s="367"/>
      <c r="H262" s="367"/>
      <c r="I262" s="367"/>
      <c r="J262" s="368"/>
    </row>
    <row r="263" spans="1:10" x14ac:dyDescent="0.2">
      <c r="A263" s="366"/>
      <c r="B263" s="367"/>
      <c r="C263" s="367"/>
      <c r="D263" s="367"/>
      <c r="E263" s="367"/>
      <c r="F263" s="367"/>
      <c r="G263" s="367"/>
      <c r="H263" s="367"/>
      <c r="I263" s="367"/>
      <c r="J263" s="368"/>
    </row>
    <row r="264" spans="1:10" x14ac:dyDescent="0.2">
      <c r="A264" s="366"/>
      <c r="B264" s="367"/>
      <c r="C264" s="367"/>
      <c r="D264" s="367"/>
      <c r="E264" s="367"/>
      <c r="F264" s="367"/>
      <c r="G264" s="367"/>
      <c r="H264" s="367"/>
      <c r="I264" s="367"/>
      <c r="J264" s="368"/>
    </row>
    <row r="265" spans="1:10" x14ac:dyDescent="0.2">
      <c r="A265" s="366"/>
      <c r="B265" s="367"/>
      <c r="C265" s="367"/>
      <c r="D265" s="367"/>
      <c r="E265" s="367"/>
      <c r="F265" s="367"/>
      <c r="G265" s="367"/>
      <c r="H265" s="367"/>
      <c r="I265" s="367"/>
      <c r="J265" s="368"/>
    </row>
    <row r="266" spans="1:10" x14ac:dyDescent="0.2">
      <c r="A266" s="366"/>
      <c r="B266" s="367"/>
      <c r="C266" s="367"/>
      <c r="D266" s="367"/>
      <c r="E266" s="367"/>
      <c r="F266" s="367"/>
      <c r="G266" s="367"/>
      <c r="H266" s="367"/>
      <c r="I266" s="367"/>
      <c r="J266" s="368"/>
    </row>
    <row r="267" spans="1:10" x14ac:dyDescent="0.2">
      <c r="A267" s="366"/>
      <c r="B267" s="367"/>
      <c r="C267" s="367"/>
      <c r="D267" s="367"/>
      <c r="E267" s="367"/>
      <c r="F267" s="367"/>
      <c r="G267" s="367"/>
      <c r="H267" s="367"/>
      <c r="I267" s="367"/>
      <c r="J267" s="368"/>
    </row>
    <row r="268" spans="1:10" x14ac:dyDescent="0.2">
      <c r="A268" s="366"/>
      <c r="B268" s="367"/>
      <c r="C268" s="367"/>
      <c r="D268" s="367"/>
      <c r="E268" s="367"/>
      <c r="F268" s="367"/>
      <c r="G268" s="367"/>
      <c r="H268" s="367"/>
      <c r="I268" s="367"/>
      <c r="J268" s="368"/>
    </row>
    <row r="269" spans="1:10" x14ac:dyDescent="0.2">
      <c r="A269" s="366"/>
      <c r="B269" s="367"/>
      <c r="C269" s="367"/>
      <c r="D269" s="367"/>
      <c r="E269" s="367"/>
      <c r="F269" s="367"/>
      <c r="G269" s="367"/>
      <c r="H269" s="367"/>
      <c r="I269" s="367"/>
      <c r="J269" s="368"/>
    </row>
    <row r="270" spans="1:10" x14ac:dyDescent="0.2">
      <c r="A270" s="366"/>
      <c r="B270" s="367"/>
      <c r="C270" s="367"/>
      <c r="D270" s="367"/>
      <c r="E270" s="367"/>
      <c r="F270" s="367"/>
      <c r="G270" s="367"/>
      <c r="H270" s="367"/>
      <c r="I270" s="367"/>
      <c r="J270" s="368"/>
    </row>
    <row r="271" spans="1:10" x14ac:dyDescent="0.2">
      <c r="A271" s="366"/>
      <c r="B271" s="367"/>
      <c r="C271" s="367"/>
      <c r="D271" s="367"/>
      <c r="E271" s="367"/>
      <c r="F271" s="367"/>
      <c r="G271" s="367"/>
      <c r="H271" s="367"/>
      <c r="I271" s="367"/>
      <c r="J271" s="368"/>
    </row>
    <row r="272" spans="1:10" x14ac:dyDescent="0.2">
      <c r="A272" s="366"/>
      <c r="B272" s="367"/>
      <c r="C272" s="367"/>
      <c r="D272" s="367"/>
      <c r="E272" s="367"/>
      <c r="F272" s="367"/>
      <c r="G272" s="367"/>
      <c r="H272" s="367"/>
      <c r="I272" s="367"/>
      <c r="J272" s="368"/>
    </row>
    <row r="273" spans="1:10" x14ac:dyDescent="0.2">
      <c r="A273" s="366"/>
      <c r="B273" s="367"/>
      <c r="C273" s="367"/>
      <c r="D273" s="367"/>
      <c r="E273" s="367"/>
      <c r="F273" s="367"/>
      <c r="G273" s="367"/>
      <c r="H273" s="367"/>
      <c r="I273" s="367"/>
      <c r="J273" s="368"/>
    </row>
    <row r="274" spans="1:10" x14ac:dyDescent="0.2">
      <c r="A274" s="366"/>
      <c r="B274" s="367"/>
      <c r="C274" s="367"/>
      <c r="D274" s="367"/>
      <c r="E274" s="367"/>
      <c r="F274" s="367"/>
      <c r="G274" s="367"/>
      <c r="H274" s="367"/>
      <c r="I274" s="367"/>
      <c r="J274" s="368"/>
    </row>
    <row r="275" spans="1:10" x14ac:dyDescent="0.2">
      <c r="A275" s="369"/>
      <c r="B275" s="370"/>
      <c r="C275" s="370"/>
      <c r="D275" s="370"/>
      <c r="E275" s="370"/>
      <c r="F275" s="370"/>
      <c r="G275" s="370"/>
      <c r="H275" s="370"/>
      <c r="I275" s="370"/>
      <c r="J275" s="371"/>
    </row>
    <row r="277" spans="1:10" ht="15.75" x14ac:dyDescent="0.25">
      <c r="A277" s="280" t="s">
        <v>847</v>
      </c>
      <c r="B277" s="281"/>
      <c r="C277" s="281"/>
      <c r="D277" s="281"/>
      <c r="E277" s="281"/>
      <c r="F277" s="281"/>
      <c r="G277" s="281"/>
      <c r="H277" s="278" t="str">
        <f>'CONTACT INFORMATION'!$A$24</f>
        <v>Los Angeles</v>
      </c>
      <c r="I277" s="278"/>
      <c r="J277" s="279"/>
    </row>
    <row r="278" spans="1:10" ht="15.75" x14ac:dyDescent="0.25">
      <c r="A278" s="43"/>
      <c r="B278" s="43"/>
      <c r="C278" s="43"/>
      <c r="D278" s="43"/>
      <c r="E278" s="43"/>
      <c r="F278" s="43"/>
      <c r="G278" s="43"/>
      <c r="H278" s="43"/>
      <c r="I278" s="43"/>
      <c r="J278" s="43"/>
    </row>
    <row r="279" spans="1:10" ht="15" x14ac:dyDescent="0.25">
      <c r="A279" s="387" t="s">
        <v>901</v>
      </c>
      <c r="B279" s="388"/>
      <c r="C279" s="388"/>
      <c r="D279" s="388"/>
      <c r="E279" s="388"/>
      <c r="F279" s="388"/>
      <c r="G279" s="388"/>
      <c r="H279" s="388"/>
      <c r="I279" s="388"/>
      <c r="J279" s="389"/>
    </row>
    <row r="280" spans="1:10" ht="13.35" customHeight="1" x14ac:dyDescent="0.2">
      <c r="A280" s="390" t="s">
        <v>853</v>
      </c>
      <c r="B280" s="444"/>
      <c r="C280" s="444"/>
      <c r="D280" s="445"/>
      <c r="E280" s="393" t="s">
        <v>954</v>
      </c>
      <c r="F280" s="394"/>
      <c r="G280" s="394"/>
      <c r="H280" s="394"/>
      <c r="I280" s="394"/>
      <c r="J280" s="395"/>
    </row>
    <row r="281" spans="1:10" ht="13.35" customHeight="1" x14ac:dyDescent="0.2">
      <c r="A281" s="399" t="s">
        <v>852</v>
      </c>
      <c r="B281" s="400"/>
      <c r="C281" s="400"/>
      <c r="D281" s="401"/>
      <c r="E281" s="396"/>
      <c r="F281" s="397"/>
      <c r="G281" s="397"/>
      <c r="H281" s="397"/>
      <c r="I281" s="397"/>
      <c r="J281" s="398"/>
    </row>
    <row r="282" spans="1:10" x14ac:dyDescent="0.2">
      <c r="A282" s="460" t="s">
        <v>808</v>
      </c>
      <c r="B282" s="461"/>
      <c r="C282" s="461"/>
      <c r="D282" s="462"/>
      <c r="E282" s="405"/>
      <c r="F282" s="406"/>
      <c r="G282" s="406"/>
      <c r="H282" s="406"/>
      <c r="I282" s="406"/>
      <c r="J282" s="407"/>
    </row>
    <row r="283" spans="1:10" ht="13.35" customHeight="1" x14ac:dyDescent="0.2">
      <c r="A283" s="44"/>
      <c r="B283" s="45"/>
      <c r="C283" s="45"/>
      <c r="D283" s="45"/>
      <c r="E283" s="477" t="s">
        <v>535</v>
      </c>
      <c r="F283" s="477"/>
      <c r="G283" s="477" t="s">
        <v>533</v>
      </c>
      <c r="H283" s="477"/>
      <c r="I283" s="478" t="s">
        <v>848</v>
      </c>
      <c r="J283" s="479"/>
    </row>
    <row r="284" spans="1:10" x14ac:dyDescent="0.2">
      <c r="A284" s="382" t="s">
        <v>527</v>
      </c>
      <c r="B284" s="383"/>
      <c r="C284" s="383"/>
      <c r="D284" s="384"/>
      <c r="E284" s="458"/>
      <c r="F284" s="459"/>
      <c r="G284" s="458"/>
      <c r="H284" s="459"/>
      <c r="I284" s="480"/>
      <c r="J284" s="481"/>
    </row>
    <row r="285" spans="1:10" x14ac:dyDescent="0.2">
      <c r="A285" s="372" t="s">
        <v>528</v>
      </c>
      <c r="B285" s="373"/>
      <c r="C285" s="373"/>
      <c r="D285" s="374"/>
      <c r="E285" s="473">
        <v>217252</v>
      </c>
      <c r="F285" s="474"/>
      <c r="G285" s="456"/>
      <c r="H285" s="457"/>
      <c r="I285" s="475"/>
      <c r="J285" s="476"/>
    </row>
    <row r="286" spans="1:10" x14ac:dyDescent="0.2">
      <c r="A286" s="382" t="s">
        <v>529</v>
      </c>
      <c r="B286" s="383"/>
      <c r="C286" s="383"/>
      <c r="D286" s="384"/>
      <c r="E286" s="458">
        <v>4964</v>
      </c>
      <c r="F286" s="459"/>
      <c r="G286" s="458"/>
      <c r="H286" s="459"/>
      <c r="I286" s="480"/>
      <c r="J286" s="481"/>
    </row>
    <row r="287" spans="1:10" x14ac:dyDescent="0.2">
      <c r="A287" s="372" t="s">
        <v>530</v>
      </c>
      <c r="B287" s="373"/>
      <c r="C287" s="373"/>
      <c r="D287" s="374"/>
      <c r="E287" s="473">
        <v>88362</v>
      </c>
      <c r="F287" s="474"/>
      <c r="G287" s="456"/>
      <c r="H287" s="457"/>
      <c r="I287" s="475"/>
      <c r="J287" s="476"/>
    </row>
    <row r="288" spans="1:10" x14ac:dyDescent="0.2">
      <c r="A288" s="382" t="s">
        <v>531</v>
      </c>
      <c r="B288" s="383"/>
      <c r="C288" s="383"/>
      <c r="D288" s="384"/>
      <c r="E288" s="458"/>
      <c r="F288" s="459"/>
      <c r="G288" s="458"/>
      <c r="H288" s="459"/>
      <c r="I288" s="480"/>
      <c r="J288" s="481"/>
    </row>
    <row r="289" spans="1:10" x14ac:dyDescent="0.2">
      <c r="A289" s="372" t="s">
        <v>532</v>
      </c>
      <c r="B289" s="373"/>
      <c r="C289" s="373"/>
      <c r="D289" s="374"/>
      <c r="E289" s="473">
        <v>1423</v>
      </c>
      <c r="F289" s="474"/>
      <c r="G289" s="456"/>
      <c r="H289" s="457"/>
      <c r="I289" s="475"/>
      <c r="J289" s="476"/>
    </row>
    <row r="290" spans="1:10" x14ac:dyDescent="0.2">
      <c r="A290" s="382" t="s">
        <v>537</v>
      </c>
      <c r="B290" s="383"/>
      <c r="C290" s="383"/>
      <c r="D290" s="384"/>
      <c r="E290" s="482"/>
      <c r="F290" s="483"/>
      <c r="G290" s="482"/>
      <c r="H290" s="483"/>
      <c r="I290" s="484"/>
      <c r="J290" s="485"/>
    </row>
    <row r="291" spans="1:10" x14ac:dyDescent="0.2">
      <c r="A291" s="408" t="s">
        <v>964</v>
      </c>
      <c r="B291" s="409"/>
      <c r="C291" s="409"/>
      <c r="D291" s="410"/>
      <c r="E291" s="473">
        <v>2365</v>
      </c>
      <c r="F291" s="474"/>
      <c r="G291" s="456"/>
      <c r="H291" s="457"/>
      <c r="I291" s="456"/>
      <c r="J291" s="457"/>
    </row>
    <row r="292" spans="1:10" x14ac:dyDescent="0.2">
      <c r="A292" s="408"/>
      <c r="B292" s="409"/>
      <c r="C292" s="409"/>
      <c r="D292" s="410"/>
      <c r="E292" s="473"/>
      <c r="F292" s="474"/>
      <c r="G292" s="456"/>
      <c r="H292" s="457"/>
      <c r="I292" s="456"/>
      <c r="J292" s="457"/>
    </row>
    <row r="293" spans="1:10" x14ac:dyDescent="0.2">
      <c r="A293" s="408"/>
      <c r="B293" s="409"/>
      <c r="C293" s="409"/>
      <c r="D293" s="410"/>
      <c r="E293" s="473"/>
      <c r="F293" s="474"/>
      <c r="G293" s="456"/>
      <c r="H293" s="457"/>
      <c r="I293" s="456"/>
      <c r="J293" s="457"/>
    </row>
    <row r="294" spans="1:10" x14ac:dyDescent="0.2">
      <c r="A294" s="411" t="s">
        <v>534</v>
      </c>
      <c r="B294" s="412"/>
      <c r="C294" s="412"/>
      <c r="D294" s="413"/>
      <c r="E294" s="492">
        <f>SUM(E284:E293)</f>
        <v>314366</v>
      </c>
      <c r="F294" s="493"/>
      <c r="G294" s="492">
        <f>SUM(G284:G293)</f>
        <v>0</v>
      </c>
      <c r="H294" s="493"/>
      <c r="I294" s="492">
        <f>SUM(I284:I293)</f>
        <v>0</v>
      </c>
      <c r="J294" s="493"/>
    </row>
    <row r="295" spans="1:10" ht="13.35" customHeight="1" x14ac:dyDescent="0.2">
      <c r="A295" s="415" t="s">
        <v>860</v>
      </c>
      <c r="B295" s="486"/>
      <c r="C295" s="486"/>
      <c r="D295" s="486"/>
      <c r="E295" s="486"/>
      <c r="F295" s="486"/>
      <c r="G295" s="486"/>
      <c r="H295" s="486"/>
      <c r="I295" s="486"/>
      <c r="J295" s="487"/>
    </row>
    <row r="296" spans="1:10" ht="13.35" customHeight="1" x14ac:dyDescent="0.2">
      <c r="A296" s="358" t="s">
        <v>861</v>
      </c>
      <c r="B296" s="488"/>
      <c r="C296" s="488"/>
      <c r="D296" s="488"/>
      <c r="E296" s="488"/>
      <c r="F296" s="488"/>
      <c r="G296" s="488"/>
      <c r="H296" s="488"/>
      <c r="I296" s="488"/>
      <c r="J296" s="489"/>
    </row>
    <row r="297" spans="1:10" ht="13.35" customHeight="1" x14ac:dyDescent="0.2">
      <c r="A297" s="358" t="s">
        <v>862</v>
      </c>
      <c r="B297" s="488"/>
      <c r="C297" s="488"/>
      <c r="D297" s="488"/>
      <c r="E297" s="488"/>
      <c r="F297" s="488"/>
      <c r="G297" s="488"/>
      <c r="H297" s="488"/>
      <c r="I297" s="488"/>
      <c r="J297" s="489"/>
    </row>
    <row r="298" spans="1:10" ht="13.35" customHeight="1" x14ac:dyDescent="0.2">
      <c r="A298" s="361" t="s">
        <v>863</v>
      </c>
      <c r="B298" s="490"/>
      <c r="C298" s="490"/>
      <c r="D298" s="490"/>
      <c r="E298" s="490"/>
      <c r="F298" s="490"/>
      <c r="G298" s="490"/>
      <c r="H298" s="490"/>
      <c r="I298" s="490"/>
      <c r="J298" s="491"/>
    </row>
    <row r="299" spans="1:10" ht="13.35" customHeight="1" x14ac:dyDescent="0.2">
      <c r="A299" s="446" t="s">
        <v>988</v>
      </c>
      <c r="B299" s="447"/>
      <c r="C299" s="447"/>
      <c r="D299" s="447"/>
      <c r="E299" s="447"/>
      <c r="F299" s="447"/>
      <c r="G299" s="447"/>
      <c r="H299" s="447"/>
      <c r="I299" s="447"/>
      <c r="J299" s="448"/>
    </row>
    <row r="300" spans="1:10" x14ac:dyDescent="0.2">
      <c r="A300" s="449"/>
      <c r="B300" s="450"/>
      <c r="C300" s="450"/>
      <c r="D300" s="450"/>
      <c r="E300" s="450"/>
      <c r="F300" s="450"/>
      <c r="G300" s="450"/>
      <c r="H300" s="450"/>
      <c r="I300" s="450"/>
      <c r="J300" s="451"/>
    </row>
    <row r="301" spans="1:10" x14ac:dyDescent="0.2">
      <c r="A301" s="449"/>
      <c r="B301" s="450"/>
      <c r="C301" s="450"/>
      <c r="D301" s="450"/>
      <c r="E301" s="450"/>
      <c r="F301" s="450"/>
      <c r="G301" s="450"/>
      <c r="H301" s="450"/>
      <c r="I301" s="450"/>
      <c r="J301" s="451"/>
    </row>
    <row r="302" spans="1:10" x14ac:dyDescent="0.2">
      <c r="A302" s="449"/>
      <c r="B302" s="450"/>
      <c r="C302" s="450"/>
      <c r="D302" s="450"/>
      <c r="E302" s="450"/>
      <c r="F302" s="450"/>
      <c r="G302" s="450"/>
      <c r="H302" s="450"/>
      <c r="I302" s="450"/>
      <c r="J302" s="451"/>
    </row>
    <row r="303" spans="1:10" x14ac:dyDescent="0.2">
      <c r="A303" s="449"/>
      <c r="B303" s="450"/>
      <c r="C303" s="450"/>
      <c r="D303" s="450"/>
      <c r="E303" s="450"/>
      <c r="F303" s="450"/>
      <c r="G303" s="450"/>
      <c r="H303" s="450"/>
      <c r="I303" s="450"/>
      <c r="J303" s="451"/>
    </row>
    <row r="304" spans="1:10" x14ac:dyDescent="0.2">
      <c r="A304" s="449"/>
      <c r="B304" s="450"/>
      <c r="C304" s="450"/>
      <c r="D304" s="450"/>
      <c r="E304" s="450"/>
      <c r="F304" s="450"/>
      <c r="G304" s="450"/>
      <c r="H304" s="450"/>
      <c r="I304" s="450"/>
      <c r="J304" s="451"/>
    </row>
    <row r="305" spans="1:10" x14ac:dyDescent="0.2">
      <c r="A305" s="449"/>
      <c r="B305" s="450"/>
      <c r="C305" s="450"/>
      <c r="D305" s="450"/>
      <c r="E305" s="450"/>
      <c r="F305" s="450"/>
      <c r="G305" s="450"/>
      <c r="H305" s="450"/>
      <c r="I305" s="450"/>
      <c r="J305" s="451"/>
    </row>
    <row r="306" spans="1:10" x14ac:dyDescent="0.2">
      <c r="A306" s="449"/>
      <c r="B306" s="450"/>
      <c r="C306" s="450"/>
      <c r="D306" s="450"/>
      <c r="E306" s="450"/>
      <c r="F306" s="450"/>
      <c r="G306" s="450"/>
      <c r="H306" s="450"/>
      <c r="I306" s="450"/>
      <c r="J306" s="451"/>
    </row>
    <row r="307" spans="1:10" x14ac:dyDescent="0.2">
      <c r="A307" s="449"/>
      <c r="B307" s="450"/>
      <c r="C307" s="450"/>
      <c r="D307" s="450"/>
      <c r="E307" s="450"/>
      <c r="F307" s="450"/>
      <c r="G307" s="450"/>
      <c r="H307" s="450"/>
      <c r="I307" s="450"/>
      <c r="J307" s="451"/>
    </row>
    <row r="308" spans="1:10" x14ac:dyDescent="0.2">
      <c r="A308" s="449"/>
      <c r="B308" s="450"/>
      <c r="C308" s="450"/>
      <c r="D308" s="450"/>
      <c r="E308" s="450"/>
      <c r="F308" s="450"/>
      <c r="G308" s="450"/>
      <c r="H308" s="450"/>
      <c r="I308" s="450"/>
      <c r="J308" s="451"/>
    </row>
    <row r="309" spans="1:10" x14ac:dyDescent="0.2">
      <c r="A309" s="449"/>
      <c r="B309" s="450"/>
      <c r="C309" s="450"/>
      <c r="D309" s="450"/>
      <c r="E309" s="450"/>
      <c r="F309" s="450"/>
      <c r="G309" s="450"/>
      <c r="H309" s="450"/>
      <c r="I309" s="450"/>
      <c r="J309" s="451"/>
    </row>
    <row r="310" spans="1:10" x14ac:dyDescent="0.2">
      <c r="A310" s="449"/>
      <c r="B310" s="450"/>
      <c r="C310" s="450"/>
      <c r="D310" s="450"/>
      <c r="E310" s="450"/>
      <c r="F310" s="450"/>
      <c r="G310" s="450"/>
      <c r="H310" s="450"/>
      <c r="I310" s="450"/>
      <c r="J310" s="451"/>
    </row>
    <row r="311" spans="1:10" x14ac:dyDescent="0.2">
      <c r="A311" s="449"/>
      <c r="B311" s="450"/>
      <c r="C311" s="450"/>
      <c r="D311" s="450"/>
      <c r="E311" s="450"/>
      <c r="F311" s="450"/>
      <c r="G311" s="450"/>
      <c r="H311" s="450"/>
      <c r="I311" s="450"/>
      <c r="J311" s="451"/>
    </row>
    <row r="312" spans="1:10" x14ac:dyDescent="0.2">
      <c r="A312" s="449"/>
      <c r="B312" s="450"/>
      <c r="C312" s="450"/>
      <c r="D312" s="450"/>
      <c r="E312" s="450"/>
      <c r="F312" s="450"/>
      <c r="G312" s="450"/>
      <c r="H312" s="450"/>
      <c r="I312" s="450"/>
      <c r="J312" s="451"/>
    </row>
    <row r="313" spans="1:10" x14ac:dyDescent="0.2">
      <c r="A313" s="449"/>
      <c r="B313" s="450"/>
      <c r="C313" s="450"/>
      <c r="D313" s="450"/>
      <c r="E313" s="450"/>
      <c r="F313" s="450"/>
      <c r="G313" s="450"/>
      <c r="H313" s="450"/>
      <c r="I313" s="450"/>
      <c r="J313" s="451"/>
    </row>
    <row r="314" spans="1:10" x14ac:dyDescent="0.2">
      <c r="A314" s="449"/>
      <c r="B314" s="450"/>
      <c r="C314" s="450"/>
      <c r="D314" s="450"/>
      <c r="E314" s="450"/>
      <c r="F314" s="450"/>
      <c r="G314" s="450"/>
      <c r="H314" s="450"/>
      <c r="I314" s="450"/>
      <c r="J314" s="451"/>
    </row>
    <row r="315" spans="1:10" x14ac:dyDescent="0.2">
      <c r="A315" s="449"/>
      <c r="B315" s="450"/>
      <c r="C315" s="450"/>
      <c r="D315" s="450"/>
      <c r="E315" s="450"/>
      <c r="F315" s="450"/>
      <c r="G315" s="450"/>
      <c r="H315" s="450"/>
      <c r="I315" s="450"/>
      <c r="J315" s="451"/>
    </row>
    <row r="316" spans="1:10" x14ac:dyDescent="0.2">
      <c r="A316" s="449"/>
      <c r="B316" s="450"/>
      <c r="C316" s="450"/>
      <c r="D316" s="450"/>
      <c r="E316" s="450"/>
      <c r="F316" s="450"/>
      <c r="G316" s="450"/>
      <c r="H316" s="450"/>
      <c r="I316" s="450"/>
      <c r="J316" s="451"/>
    </row>
    <row r="317" spans="1:10" x14ac:dyDescent="0.2">
      <c r="A317" s="449"/>
      <c r="B317" s="450"/>
      <c r="C317" s="450"/>
      <c r="D317" s="450"/>
      <c r="E317" s="450"/>
      <c r="F317" s="450"/>
      <c r="G317" s="450"/>
      <c r="H317" s="450"/>
      <c r="I317" s="450"/>
      <c r="J317" s="451"/>
    </row>
    <row r="318" spans="1:10" x14ac:dyDescent="0.2">
      <c r="A318" s="449"/>
      <c r="B318" s="450"/>
      <c r="C318" s="450"/>
      <c r="D318" s="450"/>
      <c r="E318" s="450"/>
      <c r="F318" s="450"/>
      <c r="G318" s="450"/>
      <c r="H318" s="450"/>
      <c r="I318" s="450"/>
      <c r="J318" s="451"/>
    </row>
    <row r="319" spans="1:10" x14ac:dyDescent="0.2">
      <c r="A319" s="449"/>
      <c r="B319" s="450"/>
      <c r="C319" s="450"/>
      <c r="D319" s="450"/>
      <c r="E319" s="450"/>
      <c r="F319" s="450"/>
      <c r="G319" s="450"/>
      <c r="H319" s="450"/>
      <c r="I319" s="450"/>
      <c r="J319" s="451"/>
    </row>
    <row r="320" spans="1:10" x14ac:dyDescent="0.2">
      <c r="A320" s="449"/>
      <c r="B320" s="450"/>
      <c r="C320" s="450"/>
      <c r="D320" s="450"/>
      <c r="E320" s="450"/>
      <c r="F320" s="450"/>
      <c r="G320" s="450"/>
      <c r="H320" s="450"/>
      <c r="I320" s="450"/>
      <c r="J320" s="451"/>
    </row>
    <row r="321" spans="1:10" x14ac:dyDescent="0.2">
      <c r="A321" s="449"/>
      <c r="B321" s="450"/>
      <c r="C321" s="450"/>
      <c r="D321" s="450"/>
      <c r="E321" s="450"/>
      <c r="F321" s="450"/>
      <c r="G321" s="450"/>
      <c r="H321" s="450"/>
      <c r="I321" s="450"/>
      <c r="J321" s="451"/>
    </row>
    <row r="322" spans="1:10" x14ac:dyDescent="0.2">
      <c r="A322" s="449"/>
      <c r="B322" s="450"/>
      <c r="C322" s="450"/>
      <c r="D322" s="450"/>
      <c r="E322" s="450"/>
      <c r="F322" s="450"/>
      <c r="G322" s="450"/>
      <c r="H322" s="450"/>
      <c r="I322" s="450"/>
      <c r="J322" s="451"/>
    </row>
    <row r="323" spans="1:10" x14ac:dyDescent="0.2">
      <c r="A323" s="449"/>
      <c r="B323" s="450"/>
      <c r="C323" s="450"/>
      <c r="D323" s="450"/>
      <c r="E323" s="450"/>
      <c r="F323" s="450"/>
      <c r="G323" s="450"/>
      <c r="H323" s="450"/>
      <c r="I323" s="450"/>
      <c r="J323" s="451"/>
    </row>
    <row r="324" spans="1:10" x14ac:dyDescent="0.2">
      <c r="A324" s="449"/>
      <c r="B324" s="450"/>
      <c r="C324" s="450"/>
      <c r="D324" s="450"/>
      <c r="E324" s="450"/>
      <c r="F324" s="450"/>
      <c r="G324" s="450"/>
      <c r="H324" s="450"/>
      <c r="I324" s="450"/>
      <c r="J324" s="451"/>
    </row>
    <row r="325" spans="1:10" x14ac:dyDescent="0.2">
      <c r="A325" s="449"/>
      <c r="B325" s="450"/>
      <c r="C325" s="450"/>
      <c r="D325" s="450"/>
      <c r="E325" s="450"/>
      <c r="F325" s="450"/>
      <c r="G325" s="450"/>
      <c r="H325" s="450"/>
      <c r="I325" s="450"/>
      <c r="J325" s="451"/>
    </row>
    <row r="326" spans="1:10" x14ac:dyDescent="0.2">
      <c r="A326" s="449"/>
      <c r="B326" s="450"/>
      <c r="C326" s="450"/>
      <c r="D326" s="450"/>
      <c r="E326" s="450"/>
      <c r="F326" s="450"/>
      <c r="G326" s="450"/>
      <c r="H326" s="450"/>
      <c r="I326" s="450"/>
      <c r="J326" s="451"/>
    </row>
    <row r="327" spans="1:10" x14ac:dyDescent="0.2">
      <c r="A327" s="449"/>
      <c r="B327" s="450"/>
      <c r="C327" s="450"/>
      <c r="D327" s="450"/>
      <c r="E327" s="450"/>
      <c r="F327" s="450"/>
      <c r="G327" s="450"/>
      <c r="H327" s="450"/>
      <c r="I327" s="450"/>
      <c r="J327" s="451"/>
    </row>
    <row r="328" spans="1:10" x14ac:dyDescent="0.2">
      <c r="A328" s="452"/>
      <c r="B328" s="453"/>
      <c r="C328" s="453"/>
      <c r="D328" s="453"/>
      <c r="E328" s="453"/>
      <c r="F328" s="453"/>
      <c r="G328" s="453"/>
      <c r="H328" s="453"/>
      <c r="I328" s="453"/>
      <c r="J328" s="454"/>
    </row>
    <row r="329" spans="1:10" x14ac:dyDescent="0.2">
      <c r="A329" s="161"/>
      <c r="B329" s="161"/>
      <c r="C329" s="161"/>
      <c r="D329" s="161"/>
      <c r="E329" s="161"/>
      <c r="F329" s="161"/>
      <c r="G329" s="161"/>
      <c r="H329" s="161"/>
      <c r="I329" s="161"/>
      <c r="J329" s="161"/>
    </row>
    <row r="330" spans="1:10" ht="15.75" x14ac:dyDescent="0.25">
      <c r="A330" s="280" t="s">
        <v>847</v>
      </c>
      <c r="B330" s="281"/>
      <c r="C330" s="281"/>
      <c r="D330" s="281"/>
      <c r="E330" s="281"/>
      <c r="F330" s="281"/>
      <c r="G330" s="281"/>
      <c r="H330" s="278" t="str">
        <f>'CONTACT INFORMATION'!$A$24</f>
        <v>Los Angeles</v>
      </c>
      <c r="I330" s="278"/>
      <c r="J330" s="279"/>
    </row>
    <row r="331" spans="1:10" ht="15.75" x14ac:dyDescent="0.25">
      <c r="A331" s="43"/>
      <c r="B331" s="43"/>
      <c r="C331" s="43"/>
      <c r="D331" s="43"/>
      <c r="E331" s="43"/>
      <c r="F331" s="43"/>
      <c r="G331" s="43"/>
      <c r="H331" s="43"/>
      <c r="I331" s="43"/>
      <c r="J331" s="43"/>
    </row>
    <row r="332" spans="1:10" ht="15" x14ac:dyDescent="0.25">
      <c r="A332" s="387" t="s">
        <v>902</v>
      </c>
      <c r="B332" s="388"/>
      <c r="C332" s="388"/>
      <c r="D332" s="388"/>
      <c r="E332" s="388"/>
      <c r="F332" s="388"/>
      <c r="G332" s="388"/>
      <c r="H332" s="388"/>
      <c r="I332" s="388"/>
      <c r="J332" s="389"/>
    </row>
    <row r="333" spans="1:10" ht="13.35" customHeight="1" x14ac:dyDescent="0.2">
      <c r="A333" s="390" t="s">
        <v>853</v>
      </c>
      <c r="B333" s="444"/>
      <c r="C333" s="444"/>
      <c r="D333" s="445"/>
      <c r="E333" s="393" t="s">
        <v>965</v>
      </c>
      <c r="F333" s="394"/>
      <c r="G333" s="394"/>
      <c r="H333" s="394"/>
      <c r="I333" s="394"/>
      <c r="J333" s="395"/>
    </row>
    <row r="334" spans="1:10" ht="13.35" customHeight="1" x14ac:dyDescent="0.2">
      <c r="A334" s="399" t="s">
        <v>852</v>
      </c>
      <c r="B334" s="400"/>
      <c r="C334" s="400"/>
      <c r="D334" s="401"/>
      <c r="E334" s="396"/>
      <c r="F334" s="397"/>
      <c r="G334" s="397"/>
      <c r="H334" s="397"/>
      <c r="I334" s="397"/>
      <c r="J334" s="398"/>
    </row>
    <row r="335" spans="1:10" x14ac:dyDescent="0.2">
      <c r="A335" s="460" t="s">
        <v>808</v>
      </c>
      <c r="B335" s="461"/>
      <c r="C335" s="461"/>
      <c r="D335" s="462"/>
      <c r="E335" s="405"/>
      <c r="F335" s="406"/>
      <c r="G335" s="406"/>
      <c r="H335" s="406"/>
      <c r="I335" s="406"/>
      <c r="J335" s="407"/>
    </row>
    <row r="336" spans="1:10" ht="13.35" customHeight="1" x14ac:dyDescent="0.2">
      <c r="A336" s="44"/>
      <c r="B336" s="45"/>
      <c r="C336" s="45"/>
      <c r="D336" s="45"/>
      <c r="E336" s="477" t="s">
        <v>535</v>
      </c>
      <c r="F336" s="477"/>
      <c r="G336" s="477" t="s">
        <v>533</v>
      </c>
      <c r="H336" s="477"/>
      <c r="I336" s="478" t="s">
        <v>848</v>
      </c>
      <c r="J336" s="479"/>
    </row>
    <row r="337" spans="1:10" x14ac:dyDescent="0.2">
      <c r="A337" s="382" t="s">
        <v>527</v>
      </c>
      <c r="B337" s="383"/>
      <c r="C337" s="383"/>
      <c r="D337" s="384"/>
      <c r="E337" s="385"/>
      <c r="F337" s="385"/>
      <c r="G337" s="458"/>
      <c r="H337" s="459"/>
      <c r="I337" s="480"/>
      <c r="J337" s="481"/>
    </row>
    <row r="338" spans="1:10" x14ac:dyDescent="0.2">
      <c r="A338" s="372" t="s">
        <v>528</v>
      </c>
      <c r="B338" s="373"/>
      <c r="C338" s="373"/>
      <c r="D338" s="374"/>
      <c r="E338" s="375"/>
      <c r="F338" s="375"/>
      <c r="G338" s="456"/>
      <c r="H338" s="457"/>
      <c r="I338" s="475"/>
      <c r="J338" s="476"/>
    </row>
    <row r="339" spans="1:10" x14ac:dyDescent="0.2">
      <c r="A339" s="382" t="s">
        <v>529</v>
      </c>
      <c r="B339" s="383"/>
      <c r="C339" s="383"/>
      <c r="D339" s="384"/>
      <c r="E339" s="385">
        <v>2421</v>
      </c>
      <c r="F339" s="385"/>
      <c r="G339" s="458"/>
      <c r="H339" s="459"/>
      <c r="I339" s="480"/>
      <c r="J339" s="481"/>
    </row>
    <row r="340" spans="1:10" x14ac:dyDescent="0.2">
      <c r="A340" s="372" t="s">
        <v>530</v>
      </c>
      <c r="B340" s="373"/>
      <c r="C340" s="373"/>
      <c r="D340" s="374"/>
      <c r="E340" s="375">
        <v>149048</v>
      </c>
      <c r="F340" s="375"/>
      <c r="G340" s="456"/>
      <c r="H340" s="457"/>
      <c r="I340" s="475"/>
      <c r="J340" s="476"/>
    </row>
    <row r="341" spans="1:10" x14ac:dyDescent="0.2">
      <c r="A341" s="382" t="s">
        <v>531</v>
      </c>
      <c r="B341" s="383"/>
      <c r="C341" s="383"/>
      <c r="D341" s="384"/>
      <c r="E341" s="385"/>
      <c r="F341" s="385"/>
      <c r="G341" s="458"/>
      <c r="H341" s="459"/>
      <c r="I341" s="480"/>
      <c r="J341" s="481"/>
    </row>
    <row r="342" spans="1:10" x14ac:dyDescent="0.2">
      <c r="A342" s="372" t="s">
        <v>532</v>
      </c>
      <c r="B342" s="373"/>
      <c r="C342" s="373"/>
      <c r="D342" s="374"/>
      <c r="E342" s="375">
        <v>694</v>
      </c>
      <c r="F342" s="375"/>
      <c r="G342" s="456"/>
      <c r="H342" s="457"/>
      <c r="I342" s="475"/>
      <c r="J342" s="476"/>
    </row>
    <row r="343" spans="1:10" x14ac:dyDescent="0.2">
      <c r="A343" s="382" t="s">
        <v>537</v>
      </c>
      <c r="B343" s="383"/>
      <c r="C343" s="383"/>
      <c r="D343" s="384"/>
      <c r="E343" s="482"/>
      <c r="F343" s="483"/>
      <c r="G343" s="482"/>
      <c r="H343" s="483"/>
      <c r="I343" s="484"/>
      <c r="J343" s="485"/>
    </row>
    <row r="344" spans="1:10" x14ac:dyDescent="0.2">
      <c r="A344" s="408" t="s">
        <v>964</v>
      </c>
      <c r="B344" s="409"/>
      <c r="C344" s="409"/>
      <c r="D344" s="410"/>
      <c r="E344" s="375">
        <v>1153</v>
      </c>
      <c r="F344" s="375"/>
      <c r="G344" s="456"/>
      <c r="H344" s="457"/>
      <c r="I344" s="456"/>
      <c r="J344" s="457"/>
    </row>
    <row r="345" spans="1:10" x14ac:dyDescent="0.2">
      <c r="A345" s="408"/>
      <c r="B345" s="409"/>
      <c r="C345" s="409"/>
      <c r="D345" s="410"/>
      <c r="E345" s="473"/>
      <c r="F345" s="474"/>
      <c r="G345" s="456"/>
      <c r="H345" s="457"/>
      <c r="I345" s="456"/>
      <c r="J345" s="457"/>
    </row>
    <row r="346" spans="1:10" x14ac:dyDescent="0.2">
      <c r="A346" s="408"/>
      <c r="B346" s="409"/>
      <c r="C346" s="409"/>
      <c r="D346" s="410"/>
      <c r="E346" s="473"/>
      <c r="F346" s="474"/>
      <c r="G346" s="456"/>
      <c r="H346" s="457"/>
      <c r="I346" s="456"/>
      <c r="J346" s="457"/>
    </row>
    <row r="347" spans="1:10" x14ac:dyDescent="0.2">
      <c r="A347" s="411" t="s">
        <v>534</v>
      </c>
      <c r="B347" s="412"/>
      <c r="C347" s="412"/>
      <c r="D347" s="413"/>
      <c r="E347" s="492">
        <f>SUM(E337:E346)</f>
        <v>153316</v>
      </c>
      <c r="F347" s="493"/>
      <c r="G347" s="492">
        <f>SUM(G337:G346)</f>
        <v>0</v>
      </c>
      <c r="H347" s="493"/>
      <c r="I347" s="492">
        <f>SUM(I337:I346)</f>
        <v>0</v>
      </c>
      <c r="J347" s="493"/>
    </row>
    <row r="348" spans="1:10" ht="13.35" customHeight="1" x14ac:dyDescent="0.2">
      <c r="A348" s="415" t="s">
        <v>860</v>
      </c>
      <c r="B348" s="486"/>
      <c r="C348" s="486"/>
      <c r="D348" s="486"/>
      <c r="E348" s="486"/>
      <c r="F348" s="486"/>
      <c r="G348" s="486"/>
      <c r="H348" s="486"/>
      <c r="I348" s="486"/>
      <c r="J348" s="487"/>
    </row>
    <row r="349" spans="1:10" ht="13.35" customHeight="1" x14ac:dyDescent="0.2">
      <c r="A349" s="358" t="s">
        <v>861</v>
      </c>
      <c r="B349" s="488"/>
      <c r="C349" s="488"/>
      <c r="D349" s="488"/>
      <c r="E349" s="488"/>
      <c r="F349" s="488"/>
      <c r="G349" s="488"/>
      <c r="H349" s="488"/>
      <c r="I349" s="488"/>
      <c r="J349" s="489"/>
    </row>
    <row r="350" spans="1:10" ht="13.35" customHeight="1" x14ac:dyDescent="0.2">
      <c r="A350" s="358" t="s">
        <v>862</v>
      </c>
      <c r="B350" s="488"/>
      <c r="C350" s="488"/>
      <c r="D350" s="488"/>
      <c r="E350" s="488"/>
      <c r="F350" s="488"/>
      <c r="G350" s="488"/>
      <c r="H350" s="488"/>
      <c r="I350" s="488"/>
      <c r="J350" s="489"/>
    </row>
    <row r="351" spans="1:10" ht="13.35" customHeight="1" x14ac:dyDescent="0.2">
      <c r="A351" s="361" t="s">
        <v>863</v>
      </c>
      <c r="B351" s="490"/>
      <c r="C351" s="490"/>
      <c r="D351" s="490"/>
      <c r="E351" s="490"/>
      <c r="F351" s="490"/>
      <c r="G351" s="490"/>
      <c r="H351" s="490"/>
      <c r="I351" s="490"/>
      <c r="J351" s="491"/>
    </row>
    <row r="352" spans="1:10" ht="12.75" customHeight="1" x14ac:dyDescent="0.2">
      <c r="A352" s="446" t="s">
        <v>985</v>
      </c>
      <c r="B352" s="447"/>
      <c r="C352" s="447"/>
      <c r="D352" s="447"/>
      <c r="E352" s="447"/>
      <c r="F352" s="447"/>
      <c r="G352" s="447"/>
      <c r="H352" s="447"/>
      <c r="I352" s="447"/>
      <c r="J352" s="448"/>
    </row>
    <row r="353" spans="1:10" x14ac:dyDescent="0.2">
      <c r="A353" s="449"/>
      <c r="B353" s="450"/>
      <c r="C353" s="450"/>
      <c r="D353" s="450"/>
      <c r="E353" s="450"/>
      <c r="F353" s="450"/>
      <c r="G353" s="450"/>
      <c r="H353" s="450"/>
      <c r="I353" s="450"/>
      <c r="J353" s="451"/>
    </row>
    <row r="354" spans="1:10" x14ac:dyDescent="0.2">
      <c r="A354" s="449"/>
      <c r="B354" s="450"/>
      <c r="C354" s="450"/>
      <c r="D354" s="450"/>
      <c r="E354" s="450"/>
      <c r="F354" s="450"/>
      <c r="G354" s="450"/>
      <c r="H354" s="450"/>
      <c r="I354" s="450"/>
      <c r="J354" s="451"/>
    </row>
    <row r="355" spans="1:10" x14ac:dyDescent="0.2">
      <c r="A355" s="449"/>
      <c r="B355" s="450"/>
      <c r="C355" s="450"/>
      <c r="D355" s="450"/>
      <c r="E355" s="450"/>
      <c r="F355" s="450"/>
      <c r="G355" s="450"/>
      <c r="H355" s="450"/>
      <c r="I355" s="450"/>
      <c r="J355" s="451"/>
    </row>
    <row r="356" spans="1:10" x14ac:dyDescent="0.2">
      <c r="A356" s="449"/>
      <c r="B356" s="450"/>
      <c r="C356" s="450"/>
      <c r="D356" s="450"/>
      <c r="E356" s="450"/>
      <c r="F356" s="450"/>
      <c r="G356" s="450"/>
      <c r="H356" s="450"/>
      <c r="I356" s="450"/>
      <c r="J356" s="451"/>
    </row>
    <row r="357" spans="1:10" x14ac:dyDescent="0.2">
      <c r="A357" s="449"/>
      <c r="B357" s="450"/>
      <c r="C357" s="450"/>
      <c r="D357" s="450"/>
      <c r="E357" s="450"/>
      <c r="F357" s="450"/>
      <c r="G357" s="450"/>
      <c r="H357" s="450"/>
      <c r="I357" s="450"/>
      <c r="J357" s="451"/>
    </row>
    <row r="358" spans="1:10" x14ac:dyDescent="0.2">
      <c r="A358" s="449"/>
      <c r="B358" s="450"/>
      <c r="C358" s="450"/>
      <c r="D358" s="450"/>
      <c r="E358" s="450"/>
      <c r="F358" s="450"/>
      <c r="G358" s="450"/>
      <c r="H358" s="450"/>
      <c r="I358" s="450"/>
      <c r="J358" s="451"/>
    </row>
    <row r="359" spans="1:10" x14ac:dyDescent="0.2">
      <c r="A359" s="449"/>
      <c r="B359" s="450"/>
      <c r="C359" s="450"/>
      <c r="D359" s="450"/>
      <c r="E359" s="450"/>
      <c r="F359" s="450"/>
      <c r="G359" s="450"/>
      <c r="H359" s="450"/>
      <c r="I359" s="450"/>
      <c r="J359" s="451"/>
    </row>
    <row r="360" spans="1:10" x14ac:dyDescent="0.2">
      <c r="A360" s="449"/>
      <c r="B360" s="450"/>
      <c r="C360" s="450"/>
      <c r="D360" s="450"/>
      <c r="E360" s="450"/>
      <c r="F360" s="450"/>
      <c r="G360" s="450"/>
      <c r="H360" s="450"/>
      <c r="I360" s="450"/>
      <c r="J360" s="451"/>
    </row>
    <row r="361" spans="1:10" x14ac:dyDescent="0.2">
      <c r="A361" s="449"/>
      <c r="B361" s="450"/>
      <c r="C361" s="450"/>
      <c r="D361" s="450"/>
      <c r="E361" s="450"/>
      <c r="F361" s="450"/>
      <c r="G361" s="450"/>
      <c r="H361" s="450"/>
      <c r="I361" s="450"/>
      <c r="J361" s="451"/>
    </row>
    <row r="362" spans="1:10" x14ac:dyDescent="0.2">
      <c r="A362" s="449"/>
      <c r="B362" s="450"/>
      <c r="C362" s="450"/>
      <c r="D362" s="450"/>
      <c r="E362" s="450"/>
      <c r="F362" s="450"/>
      <c r="G362" s="450"/>
      <c r="H362" s="450"/>
      <c r="I362" s="450"/>
      <c r="J362" s="451"/>
    </row>
    <row r="363" spans="1:10" x14ac:dyDescent="0.2">
      <c r="A363" s="449"/>
      <c r="B363" s="450"/>
      <c r="C363" s="450"/>
      <c r="D363" s="450"/>
      <c r="E363" s="450"/>
      <c r="F363" s="450"/>
      <c r="G363" s="450"/>
      <c r="H363" s="450"/>
      <c r="I363" s="450"/>
      <c r="J363" s="451"/>
    </row>
    <row r="364" spans="1:10" x14ac:dyDescent="0.2">
      <c r="A364" s="449"/>
      <c r="B364" s="450"/>
      <c r="C364" s="450"/>
      <c r="D364" s="450"/>
      <c r="E364" s="450"/>
      <c r="F364" s="450"/>
      <c r="G364" s="450"/>
      <c r="H364" s="450"/>
      <c r="I364" s="450"/>
      <c r="J364" s="451"/>
    </row>
    <row r="365" spans="1:10" x14ac:dyDescent="0.2">
      <c r="A365" s="449"/>
      <c r="B365" s="450"/>
      <c r="C365" s="450"/>
      <c r="D365" s="450"/>
      <c r="E365" s="450"/>
      <c r="F365" s="450"/>
      <c r="G365" s="450"/>
      <c r="H365" s="450"/>
      <c r="I365" s="450"/>
      <c r="J365" s="451"/>
    </row>
    <row r="366" spans="1:10" x14ac:dyDescent="0.2">
      <c r="A366" s="449"/>
      <c r="B366" s="450"/>
      <c r="C366" s="450"/>
      <c r="D366" s="450"/>
      <c r="E366" s="450"/>
      <c r="F366" s="450"/>
      <c r="G366" s="450"/>
      <c r="H366" s="450"/>
      <c r="I366" s="450"/>
      <c r="J366" s="451"/>
    </row>
    <row r="367" spans="1:10" x14ac:dyDescent="0.2">
      <c r="A367" s="449"/>
      <c r="B367" s="450"/>
      <c r="C367" s="450"/>
      <c r="D367" s="450"/>
      <c r="E367" s="450"/>
      <c r="F367" s="450"/>
      <c r="G367" s="450"/>
      <c r="H367" s="450"/>
      <c r="I367" s="450"/>
      <c r="J367" s="451"/>
    </row>
    <row r="368" spans="1:10" x14ac:dyDescent="0.2">
      <c r="A368" s="449"/>
      <c r="B368" s="450"/>
      <c r="C368" s="450"/>
      <c r="D368" s="450"/>
      <c r="E368" s="450"/>
      <c r="F368" s="450"/>
      <c r="G368" s="450"/>
      <c r="H368" s="450"/>
      <c r="I368" s="450"/>
      <c r="J368" s="451"/>
    </row>
    <row r="369" spans="1:10" x14ac:dyDescent="0.2">
      <c r="A369" s="449"/>
      <c r="B369" s="450"/>
      <c r="C369" s="450"/>
      <c r="D369" s="450"/>
      <c r="E369" s="450"/>
      <c r="F369" s="450"/>
      <c r="G369" s="450"/>
      <c r="H369" s="450"/>
      <c r="I369" s="450"/>
      <c r="J369" s="451"/>
    </row>
    <row r="370" spans="1:10" x14ac:dyDescent="0.2">
      <c r="A370" s="449"/>
      <c r="B370" s="450"/>
      <c r="C370" s="450"/>
      <c r="D370" s="450"/>
      <c r="E370" s="450"/>
      <c r="F370" s="450"/>
      <c r="G370" s="450"/>
      <c r="H370" s="450"/>
      <c r="I370" s="450"/>
      <c r="J370" s="451"/>
    </row>
    <row r="371" spans="1:10" x14ac:dyDescent="0.2">
      <c r="A371" s="449"/>
      <c r="B371" s="450"/>
      <c r="C371" s="450"/>
      <c r="D371" s="450"/>
      <c r="E371" s="450"/>
      <c r="F371" s="450"/>
      <c r="G371" s="450"/>
      <c r="H371" s="450"/>
      <c r="I371" s="450"/>
      <c r="J371" s="451"/>
    </row>
    <row r="372" spans="1:10" x14ac:dyDescent="0.2">
      <c r="A372" s="449"/>
      <c r="B372" s="450"/>
      <c r="C372" s="450"/>
      <c r="D372" s="450"/>
      <c r="E372" s="450"/>
      <c r="F372" s="450"/>
      <c r="G372" s="450"/>
      <c r="H372" s="450"/>
      <c r="I372" s="450"/>
      <c r="J372" s="451"/>
    </row>
    <row r="373" spans="1:10" x14ac:dyDescent="0.2">
      <c r="A373" s="449"/>
      <c r="B373" s="450"/>
      <c r="C373" s="450"/>
      <c r="D373" s="450"/>
      <c r="E373" s="450"/>
      <c r="F373" s="450"/>
      <c r="G373" s="450"/>
      <c r="H373" s="450"/>
      <c r="I373" s="450"/>
      <c r="J373" s="451"/>
    </row>
    <row r="374" spans="1:10" x14ac:dyDescent="0.2">
      <c r="A374" s="449"/>
      <c r="B374" s="450"/>
      <c r="C374" s="450"/>
      <c r="D374" s="450"/>
      <c r="E374" s="450"/>
      <c r="F374" s="450"/>
      <c r="G374" s="450"/>
      <c r="H374" s="450"/>
      <c r="I374" s="450"/>
      <c r="J374" s="451"/>
    </row>
    <row r="375" spans="1:10" x14ac:dyDescent="0.2">
      <c r="A375" s="449"/>
      <c r="B375" s="450"/>
      <c r="C375" s="450"/>
      <c r="D375" s="450"/>
      <c r="E375" s="450"/>
      <c r="F375" s="450"/>
      <c r="G375" s="450"/>
      <c r="H375" s="450"/>
      <c r="I375" s="450"/>
      <c r="J375" s="451"/>
    </row>
    <row r="376" spans="1:10" x14ac:dyDescent="0.2">
      <c r="A376" s="449"/>
      <c r="B376" s="450"/>
      <c r="C376" s="450"/>
      <c r="D376" s="450"/>
      <c r="E376" s="450"/>
      <c r="F376" s="450"/>
      <c r="G376" s="450"/>
      <c r="H376" s="450"/>
      <c r="I376" s="450"/>
      <c r="J376" s="451"/>
    </row>
    <row r="377" spans="1:10" x14ac:dyDescent="0.2">
      <c r="A377" s="449"/>
      <c r="B377" s="450"/>
      <c r="C377" s="450"/>
      <c r="D377" s="450"/>
      <c r="E377" s="450"/>
      <c r="F377" s="450"/>
      <c r="G377" s="450"/>
      <c r="H377" s="450"/>
      <c r="I377" s="450"/>
      <c r="J377" s="451"/>
    </row>
    <row r="378" spans="1:10" x14ac:dyDescent="0.2">
      <c r="A378" s="449"/>
      <c r="B378" s="450"/>
      <c r="C378" s="450"/>
      <c r="D378" s="450"/>
      <c r="E378" s="450"/>
      <c r="F378" s="450"/>
      <c r="G378" s="450"/>
      <c r="H378" s="450"/>
      <c r="I378" s="450"/>
      <c r="J378" s="451"/>
    </row>
    <row r="379" spans="1:10" x14ac:dyDescent="0.2">
      <c r="A379" s="449"/>
      <c r="B379" s="450"/>
      <c r="C379" s="450"/>
      <c r="D379" s="450"/>
      <c r="E379" s="450"/>
      <c r="F379" s="450"/>
      <c r="G379" s="450"/>
      <c r="H379" s="450"/>
      <c r="I379" s="450"/>
      <c r="J379" s="451"/>
    </row>
    <row r="380" spans="1:10" x14ac:dyDescent="0.2">
      <c r="A380" s="449"/>
      <c r="B380" s="450"/>
      <c r="C380" s="450"/>
      <c r="D380" s="450"/>
      <c r="E380" s="450"/>
      <c r="F380" s="450"/>
      <c r="G380" s="450"/>
      <c r="H380" s="450"/>
      <c r="I380" s="450"/>
      <c r="J380" s="451"/>
    </row>
    <row r="381" spans="1:10" x14ac:dyDescent="0.2">
      <c r="A381" s="449"/>
      <c r="B381" s="450"/>
      <c r="C381" s="450"/>
      <c r="D381" s="450"/>
      <c r="E381" s="450"/>
      <c r="F381" s="450"/>
      <c r="G381" s="450"/>
      <c r="H381" s="450"/>
      <c r="I381" s="450"/>
      <c r="J381" s="451"/>
    </row>
    <row r="382" spans="1:10" x14ac:dyDescent="0.2">
      <c r="A382" s="452"/>
      <c r="B382" s="453"/>
      <c r="C382" s="453"/>
      <c r="D382" s="453"/>
      <c r="E382" s="453"/>
      <c r="F382" s="453"/>
      <c r="G382" s="453"/>
      <c r="H382" s="453"/>
      <c r="I382" s="453"/>
      <c r="J382" s="454"/>
    </row>
    <row r="383" spans="1:10" x14ac:dyDescent="0.2">
      <c r="A383" s="36"/>
      <c r="B383" s="36"/>
      <c r="C383" s="36"/>
      <c r="D383" s="36"/>
      <c r="E383" s="36"/>
      <c r="F383" s="36"/>
      <c r="G383" s="36"/>
      <c r="H383" s="36"/>
      <c r="I383" s="36"/>
      <c r="J383" s="36"/>
    </row>
    <row r="384" spans="1:10" ht="15.75" x14ac:dyDescent="0.25">
      <c r="A384" s="280" t="s">
        <v>847</v>
      </c>
      <c r="B384" s="281"/>
      <c r="C384" s="281"/>
      <c r="D384" s="281"/>
      <c r="E384" s="281"/>
      <c r="F384" s="281"/>
      <c r="G384" s="281"/>
      <c r="H384" s="278" t="str">
        <f>'CONTACT INFORMATION'!$A$24</f>
        <v>Los Angeles</v>
      </c>
      <c r="I384" s="278"/>
      <c r="J384" s="279"/>
    </row>
    <row r="385" spans="1:10" ht="15.75" x14ac:dyDescent="0.25">
      <c r="A385" s="43"/>
      <c r="B385" s="43"/>
      <c r="C385" s="43"/>
      <c r="D385" s="43"/>
      <c r="E385" s="43"/>
      <c r="F385" s="43"/>
      <c r="G385" s="43"/>
      <c r="H385" s="43"/>
      <c r="I385" s="43"/>
      <c r="J385" s="43"/>
    </row>
    <row r="386" spans="1:10" ht="15" x14ac:dyDescent="0.25">
      <c r="A386" s="387" t="s">
        <v>903</v>
      </c>
      <c r="B386" s="388"/>
      <c r="C386" s="388"/>
      <c r="D386" s="388"/>
      <c r="E386" s="388"/>
      <c r="F386" s="388"/>
      <c r="G386" s="388"/>
      <c r="H386" s="388"/>
      <c r="I386" s="388"/>
      <c r="J386" s="389"/>
    </row>
    <row r="387" spans="1:10" ht="13.35" customHeight="1" x14ac:dyDescent="0.2">
      <c r="A387" s="390" t="s">
        <v>853</v>
      </c>
      <c r="B387" s="444"/>
      <c r="C387" s="444"/>
      <c r="D387" s="445"/>
      <c r="E387" s="393" t="s">
        <v>974</v>
      </c>
      <c r="F387" s="394"/>
      <c r="G387" s="394"/>
      <c r="H387" s="394"/>
      <c r="I387" s="394"/>
      <c r="J387" s="395"/>
    </row>
    <row r="388" spans="1:10" ht="13.35" customHeight="1" x14ac:dyDescent="0.2">
      <c r="A388" s="399" t="s">
        <v>852</v>
      </c>
      <c r="B388" s="400"/>
      <c r="C388" s="400"/>
      <c r="D388" s="401"/>
      <c r="E388" s="396"/>
      <c r="F388" s="397"/>
      <c r="G388" s="397"/>
      <c r="H388" s="397"/>
      <c r="I388" s="397"/>
      <c r="J388" s="398"/>
    </row>
    <row r="389" spans="1:10" x14ac:dyDescent="0.2">
      <c r="A389" s="460" t="s">
        <v>808</v>
      </c>
      <c r="B389" s="461"/>
      <c r="C389" s="461"/>
      <c r="D389" s="462"/>
      <c r="E389" s="405"/>
      <c r="F389" s="406"/>
      <c r="G389" s="406"/>
      <c r="H389" s="406"/>
      <c r="I389" s="406"/>
      <c r="J389" s="407"/>
    </row>
    <row r="390" spans="1:10" ht="13.35" customHeight="1" x14ac:dyDescent="0.2">
      <c r="A390" s="44"/>
      <c r="B390" s="45"/>
      <c r="C390" s="45"/>
      <c r="D390" s="45"/>
      <c r="E390" s="477" t="s">
        <v>535</v>
      </c>
      <c r="F390" s="477"/>
      <c r="G390" s="477" t="s">
        <v>533</v>
      </c>
      <c r="H390" s="477"/>
      <c r="I390" s="478" t="s">
        <v>848</v>
      </c>
      <c r="J390" s="479"/>
    </row>
    <row r="391" spans="1:10" x14ac:dyDescent="0.2">
      <c r="A391" s="382" t="s">
        <v>527</v>
      </c>
      <c r="B391" s="383"/>
      <c r="C391" s="383"/>
      <c r="D391" s="384"/>
      <c r="E391" s="385"/>
      <c r="F391" s="385"/>
      <c r="G391" s="458"/>
      <c r="H391" s="459"/>
      <c r="I391" s="480"/>
      <c r="J391" s="481"/>
    </row>
    <row r="392" spans="1:10" x14ac:dyDescent="0.2">
      <c r="A392" s="372" t="s">
        <v>528</v>
      </c>
      <c r="B392" s="373"/>
      <c r="C392" s="373"/>
      <c r="D392" s="374"/>
      <c r="E392" s="375"/>
      <c r="F392" s="375"/>
      <c r="G392" s="456"/>
      <c r="H392" s="457"/>
      <c r="I392" s="475"/>
      <c r="J392" s="476"/>
    </row>
    <row r="393" spans="1:10" x14ac:dyDescent="0.2">
      <c r="A393" s="382" t="s">
        <v>529</v>
      </c>
      <c r="B393" s="383"/>
      <c r="C393" s="383"/>
      <c r="D393" s="384"/>
      <c r="E393" s="385">
        <v>1543</v>
      </c>
      <c r="F393" s="385"/>
      <c r="G393" s="458"/>
      <c r="H393" s="459"/>
      <c r="I393" s="480"/>
      <c r="J393" s="481"/>
    </row>
    <row r="394" spans="1:10" x14ac:dyDescent="0.2">
      <c r="A394" s="372" t="s">
        <v>530</v>
      </c>
      <c r="B394" s="373"/>
      <c r="C394" s="373"/>
      <c r="D394" s="374"/>
      <c r="E394" s="375">
        <v>95002</v>
      </c>
      <c r="F394" s="375"/>
      <c r="G394" s="456"/>
      <c r="H394" s="457"/>
      <c r="I394" s="475"/>
      <c r="J394" s="476"/>
    </row>
    <row r="395" spans="1:10" x14ac:dyDescent="0.2">
      <c r="A395" s="382" t="s">
        <v>531</v>
      </c>
      <c r="B395" s="383"/>
      <c r="C395" s="383"/>
      <c r="D395" s="384"/>
      <c r="E395" s="385"/>
      <c r="F395" s="385"/>
      <c r="G395" s="458"/>
      <c r="H395" s="459"/>
      <c r="I395" s="480"/>
      <c r="J395" s="481"/>
    </row>
    <row r="396" spans="1:10" x14ac:dyDescent="0.2">
      <c r="A396" s="372" t="s">
        <v>532</v>
      </c>
      <c r="B396" s="373"/>
      <c r="C396" s="373"/>
      <c r="D396" s="374"/>
      <c r="E396" s="375">
        <v>442</v>
      </c>
      <c r="F396" s="375"/>
      <c r="G396" s="456"/>
      <c r="H396" s="457"/>
      <c r="I396" s="475"/>
      <c r="J396" s="476"/>
    </row>
    <row r="397" spans="1:10" x14ac:dyDescent="0.2">
      <c r="A397" s="382" t="s">
        <v>537</v>
      </c>
      <c r="B397" s="383"/>
      <c r="C397" s="383"/>
      <c r="D397" s="384"/>
      <c r="E397" s="482"/>
      <c r="F397" s="483"/>
      <c r="G397" s="482"/>
      <c r="H397" s="483"/>
      <c r="I397" s="484"/>
      <c r="J397" s="485"/>
    </row>
    <row r="398" spans="1:10" x14ac:dyDescent="0.2">
      <c r="A398" s="408" t="s">
        <v>964</v>
      </c>
      <c r="B398" s="409"/>
      <c r="C398" s="409"/>
      <c r="D398" s="410"/>
      <c r="E398" s="375">
        <v>735</v>
      </c>
      <c r="F398" s="375"/>
      <c r="G398" s="456"/>
      <c r="H398" s="457"/>
      <c r="I398" s="456"/>
      <c r="J398" s="457"/>
    </row>
    <row r="399" spans="1:10" x14ac:dyDescent="0.2">
      <c r="A399" s="408"/>
      <c r="B399" s="409"/>
      <c r="C399" s="409"/>
      <c r="D399" s="410"/>
      <c r="E399" s="473"/>
      <c r="F399" s="474"/>
      <c r="G399" s="456"/>
      <c r="H399" s="457"/>
      <c r="I399" s="456"/>
      <c r="J399" s="457"/>
    </row>
    <row r="400" spans="1:10" x14ac:dyDescent="0.2">
      <c r="A400" s="408"/>
      <c r="B400" s="409"/>
      <c r="C400" s="409"/>
      <c r="D400" s="410"/>
      <c r="E400" s="473"/>
      <c r="F400" s="474"/>
      <c r="G400" s="456"/>
      <c r="H400" s="457"/>
      <c r="I400" s="456"/>
      <c r="J400" s="457"/>
    </row>
    <row r="401" spans="1:10" x14ac:dyDescent="0.2">
      <c r="A401" s="411" t="s">
        <v>534</v>
      </c>
      <c r="B401" s="412"/>
      <c r="C401" s="412"/>
      <c r="D401" s="413"/>
      <c r="E401" s="492">
        <f>SUM(E391:E400)</f>
        <v>97722</v>
      </c>
      <c r="F401" s="493"/>
      <c r="G401" s="492">
        <f>SUM(G391:G400)</f>
        <v>0</v>
      </c>
      <c r="H401" s="493"/>
      <c r="I401" s="492">
        <f>SUM(I391:I400)</f>
        <v>0</v>
      </c>
      <c r="J401" s="493"/>
    </row>
    <row r="402" spans="1:10" ht="13.35" customHeight="1" x14ac:dyDescent="0.2">
      <c r="A402" s="415" t="s">
        <v>860</v>
      </c>
      <c r="B402" s="486"/>
      <c r="C402" s="486"/>
      <c r="D402" s="486"/>
      <c r="E402" s="486"/>
      <c r="F402" s="486"/>
      <c r="G402" s="486"/>
      <c r="H402" s="486"/>
      <c r="I402" s="486"/>
      <c r="J402" s="487"/>
    </row>
    <row r="403" spans="1:10" ht="13.35" customHeight="1" x14ac:dyDescent="0.2">
      <c r="A403" s="358" t="s">
        <v>861</v>
      </c>
      <c r="B403" s="488"/>
      <c r="C403" s="488"/>
      <c r="D403" s="488"/>
      <c r="E403" s="488"/>
      <c r="F403" s="488"/>
      <c r="G403" s="488"/>
      <c r="H403" s="488"/>
      <c r="I403" s="488"/>
      <c r="J403" s="489"/>
    </row>
    <row r="404" spans="1:10" ht="13.35" customHeight="1" x14ac:dyDescent="0.2">
      <c r="A404" s="358" t="s">
        <v>862</v>
      </c>
      <c r="B404" s="488"/>
      <c r="C404" s="488"/>
      <c r="D404" s="488"/>
      <c r="E404" s="488"/>
      <c r="F404" s="488"/>
      <c r="G404" s="488"/>
      <c r="H404" s="488"/>
      <c r="I404" s="488"/>
      <c r="J404" s="489"/>
    </row>
    <row r="405" spans="1:10" ht="13.35" customHeight="1" x14ac:dyDescent="0.2">
      <c r="A405" s="361" t="s">
        <v>863</v>
      </c>
      <c r="B405" s="490"/>
      <c r="C405" s="490"/>
      <c r="D405" s="490"/>
      <c r="E405" s="490"/>
      <c r="F405" s="490"/>
      <c r="G405" s="490"/>
      <c r="H405" s="490"/>
      <c r="I405" s="490"/>
      <c r="J405" s="491"/>
    </row>
    <row r="406" spans="1:10" x14ac:dyDescent="0.2">
      <c r="A406" s="446" t="s">
        <v>982</v>
      </c>
      <c r="B406" s="447"/>
      <c r="C406" s="447"/>
      <c r="D406" s="447"/>
      <c r="E406" s="447"/>
      <c r="F406" s="447"/>
      <c r="G406" s="447"/>
      <c r="H406" s="447"/>
      <c r="I406" s="447"/>
      <c r="J406" s="448"/>
    </row>
    <row r="407" spans="1:10" x14ac:dyDescent="0.2">
      <c r="A407" s="449"/>
      <c r="B407" s="450"/>
      <c r="C407" s="450"/>
      <c r="D407" s="450"/>
      <c r="E407" s="450"/>
      <c r="F407" s="450"/>
      <c r="G407" s="450"/>
      <c r="H407" s="450"/>
      <c r="I407" s="450"/>
      <c r="J407" s="451"/>
    </row>
    <row r="408" spans="1:10" x14ac:dyDescent="0.2">
      <c r="A408" s="449"/>
      <c r="B408" s="450"/>
      <c r="C408" s="450"/>
      <c r="D408" s="450"/>
      <c r="E408" s="450"/>
      <c r="F408" s="450"/>
      <c r="G408" s="450"/>
      <c r="H408" s="450"/>
      <c r="I408" s="450"/>
      <c r="J408" s="451"/>
    </row>
    <row r="409" spans="1:10" x14ac:dyDescent="0.2">
      <c r="A409" s="449"/>
      <c r="B409" s="450"/>
      <c r="C409" s="450"/>
      <c r="D409" s="450"/>
      <c r="E409" s="450"/>
      <c r="F409" s="450"/>
      <c r="G409" s="450"/>
      <c r="H409" s="450"/>
      <c r="I409" s="450"/>
      <c r="J409" s="451"/>
    </row>
    <row r="410" spans="1:10" x14ac:dyDescent="0.2">
      <c r="A410" s="449"/>
      <c r="B410" s="450"/>
      <c r="C410" s="450"/>
      <c r="D410" s="450"/>
      <c r="E410" s="450"/>
      <c r="F410" s="450"/>
      <c r="G410" s="450"/>
      <c r="H410" s="450"/>
      <c r="I410" s="450"/>
      <c r="J410" s="451"/>
    </row>
    <row r="411" spans="1:10" x14ac:dyDescent="0.2">
      <c r="A411" s="449"/>
      <c r="B411" s="450"/>
      <c r="C411" s="450"/>
      <c r="D411" s="450"/>
      <c r="E411" s="450"/>
      <c r="F411" s="450"/>
      <c r="G411" s="450"/>
      <c r="H411" s="450"/>
      <c r="I411" s="450"/>
      <c r="J411" s="451"/>
    </row>
    <row r="412" spans="1:10" x14ac:dyDescent="0.2">
      <c r="A412" s="449"/>
      <c r="B412" s="450"/>
      <c r="C412" s="450"/>
      <c r="D412" s="450"/>
      <c r="E412" s="450"/>
      <c r="F412" s="450"/>
      <c r="G412" s="450"/>
      <c r="H412" s="450"/>
      <c r="I412" s="450"/>
      <c r="J412" s="451"/>
    </row>
    <row r="413" spans="1:10" x14ac:dyDescent="0.2">
      <c r="A413" s="449"/>
      <c r="B413" s="450"/>
      <c r="C413" s="450"/>
      <c r="D413" s="450"/>
      <c r="E413" s="450"/>
      <c r="F413" s="450"/>
      <c r="G413" s="450"/>
      <c r="H413" s="450"/>
      <c r="I413" s="450"/>
      <c r="J413" s="451"/>
    </row>
    <row r="414" spans="1:10" x14ac:dyDescent="0.2">
      <c r="A414" s="449"/>
      <c r="B414" s="450"/>
      <c r="C414" s="450"/>
      <c r="D414" s="450"/>
      <c r="E414" s="450"/>
      <c r="F414" s="450"/>
      <c r="G414" s="450"/>
      <c r="H414" s="450"/>
      <c r="I414" s="450"/>
      <c r="J414" s="451"/>
    </row>
    <row r="415" spans="1:10" x14ac:dyDescent="0.2">
      <c r="A415" s="449"/>
      <c r="B415" s="450"/>
      <c r="C415" s="450"/>
      <c r="D415" s="450"/>
      <c r="E415" s="450"/>
      <c r="F415" s="450"/>
      <c r="G415" s="450"/>
      <c r="H415" s="450"/>
      <c r="I415" s="450"/>
      <c r="J415" s="451"/>
    </row>
    <row r="416" spans="1:10" x14ac:dyDescent="0.2">
      <c r="A416" s="449"/>
      <c r="B416" s="450"/>
      <c r="C416" s="450"/>
      <c r="D416" s="450"/>
      <c r="E416" s="450"/>
      <c r="F416" s="450"/>
      <c r="G416" s="450"/>
      <c r="H416" s="450"/>
      <c r="I416" s="450"/>
      <c r="J416" s="451"/>
    </row>
    <row r="417" spans="1:10" x14ac:dyDescent="0.2">
      <c r="A417" s="449"/>
      <c r="B417" s="450"/>
      <c r="C417" s="450"/>
      <c r="D417" s="450"/>
      <c r="E417" s="450"/>
      <c r="F417" s="450"/>
      <c r="G417" s="450"/>
      <c r="H417" s="450"/>
      <c r="I417" s="450"/>
      <c r="J417" s="451"/>
    </row>
    <row r="418" spans="1:10" x14ac:dyDescent="0.2">
      <c r="A418" s="449"/>
      <c r="B418" s="450"/>
      <c r="C418" s="450"/>
      <c r="D418" s="450"/>
      <c r="E418" s="450"/>
      <c r="F418" s="450"/>
      <c r="G418" s="450"/>
      <c r="H418" s="450"/>
      <c r="I418" s="450"/>
      <c r="J418" s="451"/>
    </row>
    <row r="419" spans="1:10" x14ac:dyDescent="0.2">
      <c r="A419" s="449"/>
      <c r="B419" s="450"/>
      <c r="C419" s="450"/>
      <c r="D419" s="450"/>
      <c r="E419" s="450"/>
      <c r="F419" s="450"/>
      <c r="G419" s="450"/>
      <c r="H419" s="450"/>
      <c r="I419" s="450"/>
      <c r="J419" s="451"/>
    </row>
    <row r="420" spans="1:10" x14ac:dyDescent="0.2">
      <c r="A420" s="449"/>
      <c r="B420" s="450"/>
      <c r="C420" s="450"/>
      <c r="D420" s="450"/>
      <c r="E420" s="450"/>
      <c r="F420" s="450"/>
      <c r="G420" s="450"/>
      <c r="H420" s="450"/>
      <c r="I420" s="450"/>
      <c r="J420" s="451"/>
    </row>
    <row r="421" spans="1:10" x14ac:dyDescent="0.2">
      <c r="A421" s="449"/>
      <c r="B421" s="450"/>
      <c r="C421" s="450"/>
      <c r="D421" s="450"/>
      <c r="E421" s="450"/>
      <c r="F421" s="450"/>
      <c r="G421" s="450"/>
      <c r="H421" s="450"/>
      <c r="I421" s="450"/>
      <c r="J421" s="451"/>
    </row>
    <row r="422" spans="1:10" x14ac:dyDescent="0.2">
      <c r="A422" s="449"/>
      <c r="B422" s="450"/>
      <c r="C422" s="450"/>
      <c r="D422" s="450"/>
      <c r="E422" s="450"/>
      <c r="F422" s="450"/>
      <c r="G422" s="450"/>
      <c r="H422" s="450"/>
      <c r="I422" s="450"/>
      <c r="J422" s="451"/>
    </row>
    <row r="423" spans="1:10" x14ac:dyDescent="0.2">
      <c r="A423" s="449"/>
      <c r="B423" s="450"/>
      <c r="C423" s="450"/>
      <c r="D423" s="450"/>
      <c r="E423" s="450"/>
      <c r="F423" s="450"/>
      <c r="G423" s="450"/>
      <c r="H423" s="450"/>
      <c r="I423" s="450"/>
      <c r="J423" s="451"/>
    </row>
    <row r="424" spans="1:10" x14ac:dyDescent="0.2">
      <c r="A424" s="449"/>
      <c r="B424" s="450"/>
      <c r="C424" s="450"/>
      <c r="D424" s="450"/>
      <c r="E424" s="450"/>
      <c r="F424" s="450"/>
      <c r="G424" s="450"/>
      <c r="H424" s="450"/>
      <c r="I424" s="450"/>
      <c r="J424" s="451"/>
    </row>
    <row r="425" spans="1:10" x14ac:dyDescent="0.2">
      <c r="A425" s="449"/>
      <c r="B425" s="450"/>
      <c r="C425" s="450"/>
      <c r="D425" s="450"/>
      <c r="E425" s="450"/>
      <c r="F425" s="450"/>
      <c r="G425" s="450"/>
      <c r="H425" s="450"/>
      <c r="I425" s="450"/>
      <c r="J425" s="451"/>
    </row>
    <row r="426" spans="1:10" x14ac:dyDescent="0.2">
      <c r="A426" s="449"/>
      <c r="B426" s="450"/>
      <c r="C426" s="450"/>
      <c r="D426" s="450"/>
      <c r="E426" s="450"/>
      <c r="F426" s="450"/>
      <c r="G426" s="450"/>
      <c r="H426" s="450"/>
      <c r="I426" s="450"/>
      <c r="J426" s="451"/>
    </row>
    <row r="427" spans="1:10" x14ac:dyDescent="0.2">
      <c r="A427" s="449"/>
      <c r="B427" s="450"/>
      <c r="C427" s="450"/>
      <c r="D427" s="450"/>
      <c r="E427" s="450"/>
      <c r="F427" s="450"/>
      <c r="G427" s="450"/>
      <c r="H427" s="450"/>
      <c r="I427" s="450"/>
      <c r="J427" s="451"/>
    </row>
    <row r="428" spans="1:10" x14ac:dyDescent="0.2">
      <c r="A428" s="449"/>
      <c r="B428" s="450"/>
      <c r="C428" s="450"/>
      <c r="D428" s="450"/>
      <c r="E428" s="450"/>
      <c r="F428" s="450"/>
      <c r="G428" s="450"/>
      <c r="H428" s="450"/>
      <c r="I428" s="450"/>
      <c r="J428" s="451"/>
    </row>
    <row r="429" spans="1:10" x14ac:dyDescent="0.2">
      <c r="A429" s="449"/>
      <c r="B429" s="450"/>
      <c r="C429" s="450"/>
      <c r="D429" s="450"/>
      <c r="E429" s="450"/>
      <c r="F429" s="450"/>
      <c r="G429" s="450"/>
      <c r="H429" s="450"/>
      <c r="I429" s="450"/>
      <c r="J429" s="451"/>
    </row>
    <row r="430" spans="1:10" x14ac:dyDescent="0.2">
      <c r="A430" s="449"/>
      <c r="B430" s="450"/>
      <c r="C430" s="450"/>
      <c r="D430" s="450"/>
      <c r="E430" s="450"/>
      <c r="F430" s="450"/>
      <c r="G430" s="450"/>
      <c r="H430" s="450"/>
      <c r="I430" s="450"/>
      <c r="J430" s="451"/>
    </row>
    <row r="431" spans="1:10" x14ac:dyDescent="0.2">
      <c r="A431" s="449"/>
      <c r="B431" s="450"/>
      <c r="C431" s="450"/>
      <c r="D431" s="450"/>
      <c r="E431" s="450"/>
      <c r="F431" s="450"/>
      <c r="G431" s="450"/>
      <c r="H431" s="450"/>
      <c r="I431" s="450"/>
      <c r="J431" s="451"/>
    </row>
    <row r="432" spans="1:10" x14ac:dyDescent="0.2">
      <c r="A432" s="449"/>
      <c r="B432" s="450"/>
      <c r="C432" s="450"/>
      <c r="D432" s="450"/>
      <c r="E432" s="450"/>
      <c r="F432" s="450"/>
      <c r="G432" s="450"/>
      <c r="H432" s="450"/>
      <c r="I432" s="450"/>
      <c r="J432" s="451"/>
    </row>
    <row r="433" spans="1:10" x14ac:dyDescent="0.2">
      <c r="A433" s="449"/>
      <c r="B433" s="450"/>
      <c r="C433" s="450"/>
      <c r="D433" s="450"/>
      <c r="E433" s="450"/>
      <c r="F433" s="450"/>
      <c r="G433" s="450"/>
      <c r="H433" s="450"/>
      <c r="I433" s="450"/>
      <c r="J433" s="451"/>
    </row>
    <row r="434" spans="1:10" x14ac:dyDescent="0.2">
      <c r="A434" s="449"/>
      <c r="B434" s="450"/>
      <c r="C434" s="450"/>
      <c r="D434" s="450"/>
      <c r="E434" s="450"/>
      <c r="F434" s="450"/>
      <c r="G434" s="450"/>
      <c r="H434" s="450"/>
      <c r="I434" s="450"/>
      <c r="J434" s="451"/>
    </row>
    <row r="435" spans="1:10" x14ac:dyDescent="0.2">
      <c r="A435" s="449"/>
      <c r="B435" s="450"/>
      <c r="C435" s="450"/>
      <c r="D435" s="450"/>
      <c r="E435" s="450"/>
      <c r="F435" s="450"/>
      <c r="G435" s="450"/>
      <c r="H435" s="450"/>
      <c r="I435" s="450"/>
      <c r="J435" s="451"/>
    </row>
    <row r="436" spans="1:10" x14ac:dyDescent="0.2">
      <c r="A436" s="452"/>
      <c r="B436" s="453"/>
      <c r="C436" s="453"/>
      <c r="D436" s="453"/>
      <c r="E436" s="453"/>
      <c r="F436" s="453"/>
      <c r="G436" s="453"/>
      <c r="H436" s="453"/>
      <c r="I436" s="453"/>
      <c r="J436" s="454"/>
    </row>
    <row r="437" spans="1:10" x14ac:dyDescent="0.2">
      <c r="A437" s="143"/>
      <c r="B437" s="143"/>
      <c r="C437" s="143"/>
      <c r="D437" s="143"/>
      <c r="E437" s="143"/>
      <c r="F437" s="143"/>
      <c r="G437" s="143"/>
      <c r="H437" s="143"/>
      <c r="I437" s="143"/>
      <c r="J437" s="143"/>
    </row>
    <row r="438" spans="1:10" ht="15.75" x14ac:dyDescent="0.25">
      <c r="A438" s="280" t="s">
        <v>847</v>
      </c>
      <c r="B438" s="281"/>
      <c r="C438" s="281"/>
      <c r="D438" s="281"/>
      <c r="E438" s="281"/>
      <c r="F438" s="281"/>
      <c r="G438" s="281"/>
      <c r="H438" s="278" t="str">
        <f>'CONTACT INFORMATION'!$A$24</f>
        <v>Los Angeles</v>
      </c>
      <c r="I438" s="278"/>
      <c r="J438" s="279"/>
    </row>
    <row r="439" spans="1:10" ht="15.75" x14ac:dyDescent="0.25">
      <c r="A439" s="43"/>
      <c r="B439" s="43"/>
      <c r="C439" s="43"/>
      <c r="D439" s="43"/>
      <c r="E439" s="43"/>
      <c r="F439" s="43"/>
      <c r="G439" s="43"/>
      <c r="H439" s="43"/>
      <c r="I439" s="43"/>
      <c r="J439" s="43"/>
    </row>
    <row r="440" spans="1:10" ht="15" x14ac:dyDescent="0.25">
      <c r="A440" s="387" t="s">
        <v>904</v>
      </c>
      <c r="B440" s="388"/>
      <c r="C440" s="388"/>
      <c r="D440" s="388"/>
      <c r="E440" s="388"/>
      <c r="F440" s="388"/>
      <c r="G440" s="388"/>
      <c r="H440" s="388"/>
      <c r="I440" s="388"/>
      <c r="J440" s="389"/>
    </row>
    <row r="441" spans="1:10" ht="13.35" customHeight="1" x14ac:dyDescent="0.2">
      <c r="A441" s="390" t="s">
        <v>853</v>
      </c>
      <c r="B441" s="444"/>
      <c r="C441" s="444"/>
      <c r="D441" s="445"/>
      <c r="E441" s="393" t="s">
        <v>955</v>
      </c>
      <c r="F441" s="394"/>
      <c r="G441" s="394"/>
      <c r="H441" s="394"/>
      <c r="I441" s="394"/>
      <c r="J441" s="395"/>
    </row>
    <row r="442" spans="1:10" ht="13.35" customHeight="1" x14ac:dyDescent="0.2">
      <c r="A442" s="399" t="s">
        <v>852</v>
      </c>
      <c r="B442" s="400"/>
      <c r="C442" s="400"/>
      <c r="D442" s="401"/>
      <c r="E442" s="396"/>
      <c r="F442" s="397"/>
      <c r="G442" s="397"/>
      <c r="H442" s="397"/>
      <c r="I442" s="397"/>
      <c r="J442" s="398"/>
    </row>
    <row r="443" spans="1:10" x14ac:dyDescent="0.2">
      <c r="A443" s="460" t="s">
        <v>808</v>
      </c>
      <c r="B443" s="461"/>
      <c r="C443" s="461"/>
      <c r="D443" s="462"/>
      <c r="E443" s="405"/>
      <c r="F443" s="406"/>
      <c r="G443" s="406"/>
      <c r="H443" s="406"/>
      <c r="I443" s="406"/>
      <c r="J443" s="407"/>
    </row>
    <row r="444" spans="1:10" ht="13.35" customHeight="1" x14ac:dyDescent="0.2">
      <c r="A444" s="44"/>
      <c r="B444" s="45"/>
      <c r="C444" s="45"/>
      <c r="D444" s="45"/>
      <c r="E444" s="477" t="s">
        <v>535</v>
      </c>
      <c r="F444" s="477"/>
      <c r="G444" s="477" t="s">
        <v>533</v>
      </c>
      <c r="H444" s="477"/>
      <c r="I444" s="478" t="s">
        <v>848</v>
      </c>
      <c r="J444" s="479"/>
    </row>
    <row r="445" spans="1:10" x14ac:dyDescent="0.2">
      <c r="A445" s="382" t="s">
        <v>527</v>
      </c>
      <c r="B445" s="383"/>
      <c r="C445" s="383"/>
      <c r="D445" s="384"/>
      <c r="E445" s="385"/>
      <c r="F445" s="385"/>
      <c r="G445" s="458"/>
      <c r="H445" s="459"/>
      <c r="I445" s="480"/>
      <c r="J445" s="481"/>
    </row>
    <row r="446" spans="1:10" x14ac:dyDescent="0.2">
      <c r="A446" s="372" t="s">
        <v>528</v>
      </c>
      <c r="B446" s="373"/>
      <c r="C446" s="373"/>
      <c r="D446" s="374"/>
      <c r="E446" s="375">
        <v>365125</v>
      </c>
      <c r="F446" s="375"/>
      <c r="G446" s="456"/>
      <c r="H446" s="457"/>
      <c r="I446" s="475"/>
      <c r="J446" s="476"/>
    </row>
    <row r="447" spans="1:10" x14ac:dyDescent="0.2">
      <c r="A447" s="382" t="s">
        <v>529</v>
      </c>
      <c r="B447" s="383"/>
      <c r="C447" s="383"/>
      <c r="D447" s="384"/>
      <c r="E447" s="385">
        <v>48218</v>
      </c>
      <c r="F447" s="385"/>
      <c r="G447" s="458"/>
      <c r="H447" s="459"/>
      <c r="I447" s="480"/>
      <c r="J447" s="481"/>
    </row>
    <row r="448" spans="1:10" x14ac:dyDescent="0.2">
      <c r="A448" s="372" t="s">
        <v>530</v>
      </c>
      <c r="B448" s="373"/>
      <c r="C448" s="373"/>
      <c r="D448" s="374"/>
      <c r="E448" s="375">
        <v>2603630</v>
      </c>
      <c r="F448" s="375"/>
      <c r="G448" s="456"/>
      <c r="H448" s="457"/>
      <c r="I448" s="475"/>
      <c r="J448" s="476"/>
    </row>
    <row r="449" spans="1:10" x14ac:dyDescent="0.2">
      <c r="A449" s="382" t="s">
        <v>531</v>
      </c>
      <c r="B449" s="383"/>
      <c r="C449" s="383"/>
      <c r="D449" s="384"/>
      <c r="E449" s="385"/>
      <c r="F449" s="385"/>
      <c r="G449" s="458"/>
      <c r="H449" s="459"/>
      <c r="I449" s="480"/>
      <c r="J449" s="481"/>
    </row>
    <row r="450" spans="1:10" x14ac:dyDescent="0.2">
      <c r="A450" s="372" t="s">
        <v>532</v>
      </c>
      <c r="B450" s="373"/>
      <c r="C450" s="373"/>
      <c r="D450" s="374"/>
      <c r="E450" s="375">
        <v>13823</v>
      </c>
      <c r="F450" s="375"/>
      <c r="G450" s="456"/>
      <c r="H450" s="457"/>
      <c r="I450" s="475"/>
      <c r="J450" s="476"/>
    </row>
    <row r="451" spans="1:10" x14ac:dyDescent="0.2">
      <c r="A451" s="382" t="s">
        <v>537</v>
      </c>
      <c r="B451" s="383"/>
      <c r="C451" s="383"/>
      <c r="D451" s="384"/>
      <c r="E451" s="482"/>
      <c r="F451" s="483"/>
      <c r="G451" s="482"/>
      <c r="H451" s="483"/>
      <c r="I451" s="484"/>
      <c r="J451" s="485"/>
    </row>
    <row r="452" spans="1:10" x14ac:dyDescent="0.2">
      <c r="A452" s="408" t="s">
        <v>964</v>
      </c>
      <c r="B452" s="409"/>
      <c r="C452" s="409"/>
      <c r="D452" s="410"/>
      <c r="E452" s="375">
        <v>22971</v>
      </c>
      <c r="F452" s="375"/>
      <c r="G452" s="456"/>
      <c r="H452" s="457"/>
      <c r="I452" s="456"/>
      <c r="J452" s="457"/>
    </row>
    <row r="453" spans="1:10" x14ac:dyDescent="0.2">
      <c r="A453" s="408"/>
      <c r="B453" s="409"/>
      <c r="C453" s="409"/>
      <c r="D453" s="410"/>
      <c r="E453" s="473"/>
      <c r="F453" s="474"/>
      <c r="G453" s="456"/>
      <c r="H453" s="457"/>
      <c r="I453" s="456"/>
      <c r="J453" s="457"/>
    </row>
    <row r="454" spans="1:10" x14ac:dyDescent="0.2">
      <c r="A454" s="408"/>
      <c r="B454" s="409"/>
      <c r="C454" s="409"/>
      <c r="D454" s="410"/>
      <c r="E454" s="473"/>
      <c r="F454" s="474"/>
      <c r="G454" s="456"/>
      <c r="H454" s="457"/>
      <c r="I454" s="456"/>
      <c r="J454" s="457"/>
    </row>
    <row r="455" spans="1:10" x14ac:dyDescent="0.2">
      <c r="A455" s="411" t="s">
        <v>534</v>
      </c>
      <c r="B455" s="412"/>
      <c r="C455" s="412"/>
      <c r="D455" s="413"/>
      <c r="E455" s="492">
        <f>SUM(E445:E454)</f>
        <v>3053767</v>
      </c>
      <c r="F455" s="493"/>
      <c r="G455" s="492">
        <f>SUM(G445:G454)</f>
        <v>0</v>
      </c>
      <c r="H455" s="493"/>
      <c r="I455" s="492">
        <f>SUM(I445:I454)</f>
        <v>0</v>
      </c>
      <c r="J455" s="493"/>
    </row>
    <row r="456" spans="1:10" ht="13.35" customHeight="1" x14ac:dyDescent="0.2">
      <c r="A456" s="415" t="s">
        <v>860</v>
      </c>
      <c r="B456" s="486"/>
      <c r="C456" s="486"/>
      <c r="D456" s="486"/>
      <c r="E456" s="486"/>
      <c r="F456" s="486"/>
      <c r="G456" s="486"/>
      <c r="H456" s="486"/>
      <c r="I456" s="486"/>
      <c r="J456" s="487"/>
    </row>
    <row r="457" spans="1:10" ht="13.35" customHeight="1" x14ac:dyDescent="0.2">
      <c r="A457" s="358" t="s">
        <v>861</v>
      </c>
      <c r="B457" s="488"/>
      <c r="C457" s="488"/>
      <c r="D457" s="488"/>
      <c r="E457" s="488"/>
      <c r="F457" s="488"/>
      <c r="G457" s="488"/>
      <c r="H457" s="488"/>
      <c r="I457" s="488"/>
      <c r="J457" s="489"/>
    </row>
    <row r="458" spans="1:10" ht="13.35" customHeight="1" x14ac:dyDescent="0.2">
      <c r="A458" s="358" t="s">
        <v>862</v>
      </c>
      <c r="B458" s="488"/>
      <c r="C458" s="488"/>
      <c r="D458" s="488"/>
      <c r="E458" s="488"/>
      <c r="F458" s="488"/>
      <c r="G458" s="488"/>
      <c r="H458" s="488"/>
      <c r="I458" s="488"/>
      <c r="J458" s="489"/>
    </row>
    <row r="459" spans="1:10" ht="13.35" customHeight="1" x14ac:dyDescent="0.2">
      <c r="A459" s="361" t="s">
        <v>863</v>
      </c>
      <c r="B459" s="490"/>
      <c r="C459" s="490"/>
      <c r="D459" s="490"/>
      <c r="E459" s="490"/>
      <c r="F459" s="490"/>
      <c r="G459" s="490"/>
      <c r="H459" s="490"/>
      <c r="I459" s="490"/>
      <c r="J459" s="491"/>
    </row>
    <row r="460" spans="1:10" x14ac:dyDescent="0.2">
      <c r="A460" s="446" t="s">
        <v>991</v>
      </c>
      <c r="B460" s="447"/>
      <c r="C460" s="447"/>
      <c r="D460" s="447"/>
      <c r="E460" s="447"/>
      <c r="F460" s="447"/>
      <c r="G460" s="447"/>
      <c r="H460" s="447"/>
      <c r="I460" s="447"/>
      <c r="J460" s="448"/>
    </row>
    <row r="461" spans="1:10" x14ac:dyDescent="0.2">
      <c r="A461" s="449"/>
      <c r="B461" s="450"/>
      <c r="C461" s="450"/>
      <c r="D461" s="450"/>
      <c r="E461" s="450"/>
      <c r="F461" s="450"/>
      <c r="G461" s="450"/>
      <c r="H461" s="450"/>
      <c r="I461" s="450"/>
      <c r="J461" s="451"/>
    </row>
    <row r="462" spans="1:10" x14ac:dyDescent="0.2">
      <c r="A462" s="449"/>
      <c r="B462" s="450"/>
      <c r="C462" s="450"/>
      <c r="D462" s="450"/>
      <c r="E462" s="450"/>
      <c r="F462" s="450"/>
      <c r="G462" s="450"/>
      <c r="H462" s="450"/>
      <c r="I462" s="450"/>
      <c r="J462" s="451"/>
    </row>
    <row r="463" spans="1:10" x14ac:dyDescent="0.2">
      <c r="A463" s="449"/>
      <c r="B463" s="450"/>
      <c r="C463" s="450"/>
      <c r="D463" s="450"/>
      <c r="E463" s="450"/>
      <c r="F463" s="450"/>
      <c r="G463" s="450"/>
      <c r="H463" s="450"/>
      <c r="I463" s="450"/>
      <c r="J463" s="451"/>
    </row>
    <row r="464" spans="1:10" x14ac:dyDescent="0.2">
      <c r="A464" s="449"/>
      <c r="B464" s="450"/>
      <c r="C464" s="450"/>
      <c r="D464" s="450"/>
      <c r="E464" s="450"/>
      <c r="F464" s="450"/>
      <c r="G464" s="450"/>
      <c r="H464" s="450"/>
      <c r="I464" s="450"/>
      <c r="J464" s="451"/>
    </row>
    <row r="465" spans="1:10" x14ac:dyDescent="0.2">
      <c r="A465" s="449"/>
      <c r="B465" s="450"/>
      <c r="C465" s="450"/>
      <c r="D465" s="450"/>
      <c r="E465" s="450"/>
      <c r="F465" s="450"/>
      <c r="G465" s="450"/>
      <c r="H465" s="450"/>
      <c r="I465" s="450"/>
      <c r="J465" s="451"/>
    </row>
    <row r="466" spans="1:10" x14ac:dyDescent="0.2">
      <c r="A466" s="449"/>
      <c r="B466" s="450"/>
      <c r="C466" s="450"/>
      <c r="D466" s="450"/>
      <c r="E466" s="450"/>
      <c r="F466" s="450"/>
      <c r="G466" s="450"/>
      <c r="H466" s="450"/>
      <c r="I466" s="450"/>
      <c r="J466" s="451"/>
    </row>
    <row r="467" spans="1:10" x14ac:dyDescent="0.2">
      <c r="A467" s="449"/>
      <c r="B467" s="450"/>
      <c r="C467" s="450"/>
      <c r="D467" s="450"/>
      <c r="E467" s="450"/>
      <c r="F467" s="450"/>
      <c r="G467" s="450"/>
      <c r="H467" s="450"/>
      <c r="I467" s="450"/>
      <c r="J467" s="451"/>
    </row>
    <row r="468" spans="1:10" x14ac:dyDescent="0.2">
      <c r="A468" s="449"/>
      <c r="B468" s="450"/>
      <c r="C468" s="450"/>
      <c r="D468" s="450"/>
      <c r="E468" s="450"/>
      <c r="F468" s="450"/>
      <c r="G468" s="450"/>
      <c r="H468" s="450"/>
      <c r="I468" s="450"/>
      <c r="J468" s="451"/>
    </row>
    <row r="469" spans="1:10" x14ac:dyDescent="0.2">
      <c r="A469" s="449"/>
      <c r="B469" s="450"/>
      <c r="C469" s="450"/>
      <c r="D469" s="450"/>
      <c r="E469" s="450"/>
      <c r="F469" s="450"/>
      <c r="G469" s="450"/>
      <c r="H469" s="450"/>
      <c r="I469" s="450"/>
      <c r="J469" s="451"/>
    </row>
    <row r="470" spans="1:10" x14ac:dyDescent="0.2">
      <c r="A470" s="449"/>
      <c r="B470" s="450"/>
      <c r="C470" s="450"/>
      <c r="D470" s="450"/>
      <c r="E470" s="450"/>
      <c r="F470" s="450"/>
      <c r="G470" s="450"/>
      <c r="H470" s="450"/>
      <c r="I470" s="450"/>
      <c r="J470" s="451"/>
    </row>
    <row r="471" spans="1:10" x14ac:dyDescent="0.2">
      <c r="A471" s="449"/>
      <c r="B471" s="450"/>
      <c r="C471" s="450"/>
      <c r="D471" s="450"/>
      <c r="E471" s="450"/>
      <c r="F471" s="450"/>
      <c r="G471" s="450"/>
      <c r="H471" s="450"/>
      <c r="I471" s="450"/>
      <c r="J471" s="451"/>
    </row>
    <row r="472" spans="1:10" x14ac:dyDescent="0.2">
      <c r="A472" s="449"/>
      <c r="B472" s="450"/>
      <c r="C472" s="450"/>
      <c r="D472" s="450"/>
      <c r="E472" s="450"/>
      <c r="F472" s="450"/>
      <c r="G472" s="450"/>
      <c r="H472" s="450"/>
      <c r="I472" s="450"/>
      <c r="J472" s="451"/>
    </row>
    <row r="473" spans="1:10" x14ac:dyDescent="0.2">
      <c r="A473" s="449"/>
      <c r="B473" s="450"/>
      <c r="C473" s="450"/>
      <c r="D473" s="450"/>
      <c r="E473" s="450"/>
      <c r="F473" s="450"/>
      <c r="G473" s="450"/>
      <c r="H473" s="450"/>
      <c r="I473" s="450"/>
      <c r="J473" s="451"/>
    </row>
    <row r="474" spans="1:10" x14ac:dyDescent="0.2">
      <c r="A474" s="449"/>
      <c r="B474" s="450"/>
      <c r="C474" s="450"/>
      <c r="D474" s="450"/>
      <c r="E474" s="450"/>
      <c r="F474" s="450"/>
      <c r="G474" s="450"/>
      <c r="H474" s="450"/>
      <c r="I474" s="450"/>
      <c r="J474" s="451"/>
    </row>
    <row r="475" spans="1:10" x14ac:dyDescent="0.2">
      <c r="A475" s="449"/>
      <c r="B475" s="450"/>
      <c r="C475" s="450"/>
      <c r="D475" s="450"/>
      <c r="E475" s="450"/>
      <c r="F475" s="450"/>
      <c r="G475" s="450"/>
      <c r="H475" s="450"/>
      <c r="I475" s="450"/>
      <c r="J475" s="451"/>
    </row>
    <row r="476" spans="1:10" x14ac:dyDescent="0.2">
      <c r="A476" s="449"/>
      <c r="B476" s="450"/>
      <c r="C476" s="450"/>
      <c r="D476" s="450"/>
      <c r="E476" s="450"/>
      <c r="F476" s="450"/>
      <c r="G476" s="450"/>
      <c r="H476" s="450"/>
      <c r="I476" s="450"/>
      <c r="J476" s="451"/>
    </row>
    <row r="477" spans="1:10" x14ac:dyDescent="0.2">
      <c r="A477" s="449"/>
      <c r="B477" s="450"/>
      <c r="C477" s="450"/>
      <c r="D477" s="450"/>
      <c r="E477" s="450"/>
      <c r="F477" s="450"/>
      <c r="G477" s="450"/>
      <c r="H477" s="450"/>
      <c r="I477" s="450"/>
      <c r="J477" s="451"/>
    </row>
    <row r="478" spans="1:10" x14ac:dyDescent="0.2">
      <c r="A478" s="449"/>
      <c r="B478" s="450"/>
      <c r="C478" s="450"/>
      <c r="D478" s="450"/>
      <c r="E478" s="450"/>
      <c r="F478" s="450"/>
      <c r="G478" s="450"/>
      <c r="H478" s="450"/>
      <c r="I478" s="450"/>
      <c r="J478" s="451"/>
    </row>
    <row r="479" spans="1:10" x14ac:dyDescent="0.2">
      <c r="A479" s="449"/>
      <c r="B479" s="450"/>
      <c r="C479" s="450"/>
      <c r="D479" s="450"/>
      <c r="E479" s="450"/>
      <c r="F479" s="450"/>
      <c r="G479" s="450"/>
      <c r="H479" s="450"/>
      <c r="I479" s="450"/>
      <c r="J479" s="451"/>
    </row>
    <row r="480" spans="1:10" x14ac:dyDescent="0.2">
      <c r="A480" s="449"/>
      <c r="B480" s="450"/>
      <c r="C480" s="450"/>
      <c r="D480" s="450"/>
      <c r="E480" s="450"/>
      <c r="F480" s="450"/>
      <c r="G480" s="450"/>
      <c r="H480" s="450"/>
      <c r="I480" s="450"/>
      <c r="J480" s="451"/>
    </row>
    <row r="481" spans="1:10" x14ac:dyDescent="0.2">
      <c r="A481" s="449"/>
      <c r="B481" s="450"/>
      <c r="C481" s="450"/>
      <c r="D481" s="450"/>
      <c r="E481" s="450"/>
      <c r="F481" s="450"/>
      <c r="G481" s="450"/>
      <c r="H481" s="450"/>
      <c r="I481" s="450"/>
      <c r="J481" s="451"/>
    </row>
    <row r="482" spans="1:10" x14ac:dyDescent="0.2">
      <c r="A482" s="449"/>
      <c r="B482" s="450"/>
      <c r="C482" s="450"/>
      <c r="D482" s="450"/>
      <c r="E482" s="450"/>
      <c r="F482" s="450"/>
      <c r="G482" s="450"/>
      <c r="H482" s="450"/>
      <c r="I482" s="450"/>
      <c r="J482" s="451"/>
    </row>
    <row r="483" spans="1:10" x14ac:dyDescent="0.2">
      <c r="A483" s="449"/>
      <c r="B483" s="450"/>
      <c r="C483" s="450"/>
      <c r="D483" s="450"/>
      <c r="E483" s="450"/>
      <c r="F483" s="450"/>
      <c r="G483" s="450"/>
      <c r="H483" s="450"/>
      <c r="I483" s="450"/>
      <c r="J483" s="451"/>
    </row>
    <row r="484" spans="1:10" x14ac:dyDescent="0.2">
      <c r="A484" s="449"/>
      <c r="B484" s="450"/>
      <c r="C484" s="450"/>
      <c r="D484" s="450"/>
      <c r="E484" s="450"/>
      <c r="F484" s="450"/>
      <c r="G484" s="450"/>
      <c r="H484" s="450"/>
      <c r="I484" s="450"/>
      <c r="J484" s="451"/>
    </row>
    <row r="485" spans="1:10" x14ac:dyDescent="0.2">
      <c r="A485" s="449"/>
      <c r="B485" s="450"/>
      <c r="C485" s="450"/>
      <c r="D485" s="450"/>
      <c r="E485" s="450"/>
      <c r="F485" s="450"/>
      <c r="G485" s="450"/>
      <c r="H485" s="450"/>
      <c r="I485" s="450"/>
      <c r="J485" s="451"/>
    </row>
    <row r="486" spans="1:10" x14ac:dyDescent="0.2">
      <c r="A486" s="449"/>
      <c r="B486" s="450"/>
      <c r="C486" s="450"/>
      <c r="D486" s="450"/>
      <c r="E486" s="450"/>
      <c r="F486" s="450"/>
      <c r="G486" s="450"/>
      <c r="H486" s="450"/>
      <c r="I486" s="450"/>
      <c r="J486" s="451"/>
    </row>
    <row r="487" spans="1:10" x14ac:dyDescent="0.2">
      <c r="A487" s="449"/>
      <c r="B487" s="450"/>
      <c r="C487" s="450"/>
      <c r="D487" s="450"/>
      <c r="E487" s="450"/>
      <c r="F487" s="450"/>
      <c r="G487" s="450"/>
      <c r="H487" s="450"/>
      <c r="I487" s="450"/>
      <c r="J487" s="451"/>
    </row>
    <row r="488" spans="1:10" x14ac:dyDescent="0.2">
      <c r="A488" s="449"/>
      <c r="B488" s="450"/>
      <c r="C488" s="450"/>
      <c r="D488" s="450"/>
      <c r="E488" s="450"/>
      <c r="F488" s="450"/>
      <c r="G488" s="450"/>
      <c r="H488" s="450"/>
      <c r="I488" s="450"/>
      <c r="J488" s="451"/>
    </row>
    <row r="489" spans="1:10" x14ac:dyDescent="0.2">
      <c r="A489" s="449"/>
      <c r="B489" s="450"/>
      <c r="C489" s="450"/>
      <c r="D489" s="450"/>
      <c r="E489" s="450"/>
      <c r="F489" s="450"/>
      <c r="G489" s="450"/>
      <c r="H489" s="450"/>
      <c r="I489" s="450"/>
      <c r="J489" s="451"/>
    </row>
    <row r="490" spans="1:10" x14ac:dyDescent="0.2">
      <c r="A490" s="452"/>
      <c r="B490" s="453"/>
      <c r="C490" s="453"/>
      <c r="D490" s="453"/>
      <c r="E490" s="453"/>
      <c r="F490" s="453"/>
      <c r="G490" s="453"/>
      <c r="H490" s="453"/>
      <c r="I490" s="453"/>
      <c r="J490" s="454"/>
    </row>
    <row r="491" spans="1:10" x14ac:dyDescent="0.2">
      <c r="A491" s="143"/>
      <c r="B491" s="143"/>
      <c r="C491" s="143"/>
      <c r="D491" s="143"/>
      <c r="E491" s="143"/>
      <c r="F491" s="143"/>
      <c r="G491" s="143"/>
      <c r="H491" s="143"/>
      <c r="I491" s="143"/>
      <c r="J491" s="143"/>
    </row>
    <row r="492" spans="1:10" ht="15.75" x14ac:dyDescent="0.25">
      <c r="A492" s="280" t="s">
        <v>847</v>
      </c>
      <c r="B492" s="281"/>
      <c r="C492" s="281"/>
      <c r="D492" s="281"/>
      <c r="E492" s="281"/>
      <c r="F492" s="281"/>
      <c r="G492" s="281"/>
      <c r="H492" s="278" t="str">
        <f>'CONTACT INFORMATION'!$A$24</f>
        <v>Los Angeles</v>
      </c>
      <c r="I492" s="278"/>
      <c r="J492" s="279"/>
    </row>
    <row r="493" spans="1:10" ht="15.75" x14ac:dyDescent="0.25">
      <c r="A493" s="43"/>
      <c r="B493" s="43"/>
      <c r="C493" s="43"/>
      <c r="D493" s="43"/>
      <c r="E493" s="43"/>
      <c r="F493" s="43"/>
      <c r="G493" s="43"/>
      <c r="H493" s="43"/>
      <c r="I493" s="43"/>
      <c r="J493" s="43"/>
    </row>
    <row r="494" spans="1:10" ht="15" x14ac:dyDescent="0.25">
      <c r="A494" s="387" t="s">
        <v>905</v>
      </c>
      <c r="B494" s="388"/>
      <c r="C494" s="388"/>
      <c r="D494" s="388"/>
      <c r="E494" s="388"/>
      <c r="F494" s="388"/>
      <c r="G494" s="388"/>
      <c r="H494" s="388"/>
      <c r="I494" s="388"/>
      <c r="J494" s="389"/>
    </row>
    <row r="495" spans="1:10" ht="13.35" customHeight="1" x14ac:dyDescent="0.2">
      <c r="A495" s="390" t="s">
        <v>853</v>
      </c>
      <c r="B495" s="444"/>
      <c r="C495" s="444"/>
      <c r="D495" s="445"/>
      <c r="E495" s="393" t="s">
        <v>961</v>
      </c>
      <c r="F495" s="394"/>
      <c r="G495" s="394"/>
      <c r="H495" s="394"/>
      <c r="I495" s="394"/>
      <c r="J495" s="395"/>
    </row>
    <row r="496" spans="1:10" ht="13.35" customHeight="1" x14ac:dyDescent="0.2">
      <c r="A496" s="399" t="s">
        <v>852</v>
      </c>
      <c r="B496" s="400"/>
      <c r="C496" s="400"/>
      <c r="D496" s="401"/>
      <c r="E496" s="396"/>
      <c r="F496" s="397"/>
      <c r="G496" s="397"/>
      <c r="H496" s="397"/>
      <c r="I496" s="397"/>
      <c r="J496" s="398"/>
    </row>
    <row r="497" spans="1:10" x14ac:dyDescent="0.2">
      <c r="A497" s="460" t="s">
        <v>808</v>
      </c>
      <c r="B497" s="461"/>
      <c r="C497" s="461"/>
      <c r="D497" s="462"/>
      <c r="E497" s="405"/>
      <c r="F497" s="406"/>
      <c r="G497" s="406"/>
      <c r="H497" s="406"/>
      <c r="I497" s="406"/>
      <c r="J497" s="407"/>
    </row>
    <row r="498" spans="1:10" ht="13.35" customHeight="1" x14ac:dyDescent="0.2">
      <c r="A498" s="44"/>
      <c r="B498" s="45"/>
      <c r="C498" s="45"/>
      <c r="D498" s="45"/>
      <c r="E498" s="477" t="s">
        <v>535</v>
      </c>
      <c r="F498" s="477"/>
      <c r="G498" s="477" t="s">
        <v>533</v>
      </c>
      <c r="H498" s="477"/>
      <c r="I498" s="478" t="s">
        <v>848</v>
      </c>
      <c r="J498" s="479"/>
    </row>
    <row r="499" spans="1:10" x14ac:dyDescent="0.2">
      <c r="A499" s="382" t="s">
        <v>527</v>
      </c>
      <c r="B499" s="383"/>
      <c r="C499" s="383"/>
      <c r="D499" s="384"/>
      <c r="E499" s="385"/>
      <c r="F499" s="385"/>
      <c r="G499" s="458"/>
      <c r="H499" s="459"/>
      <c r="I499" s="480"/>
      <c r="J499" s="481"/>
    </row>
    <row r="500" spans="1:10" x14ac:dyDescent="0.2">
      <c r="A500" s="372" t="s">
        <v>528</v>
      </c>
      <c r="B500" s="373"/>
      <c r="C500" s="373"/>
      <c r="D500" s="374"/>
      <c r="E500" s="375">
        <v>85730</v>
      </c>
      <c r="F500" s="375"/>
      <c r="G500" s="456"/>
      <c r="H500" s="457"/>
      <c r="I500" s="475"/>
      <c r="J500" s="476"/>
    </row>
    <row r="501" spans="1:10" x14ac:dyDescent="0.2">
      <c r="A501" s="382" t="s">
        <v>529</v>
      </c>
      <c r="B501" s="383"/>
      <c r="C501" s="383"/>
      <c r="D501" s="384"/>
      <c r="E501" s="385">
        <v>48441</v>
      </c>
      <c r="F501" s="385"/>
      <c r="G501" s="458"/>
      <c r="H501" s="459"/>
      <c r="I501" s="480"/>
      <c r="J501" s="481"/>
    </row>
    <row r="502" spans="1:10" x14ac:dyDescent="0.2">
      <c r="A502" s="372" t="s">
        <v>530</v>
      </c>
      <c r="B502" s="373"/>
      <c r="C502" s="373"/>
      <c r="D502" s="374"/>
      <c r="E502" s="375">
        <v>2896791</v>
      </c>
      <c r="F502" s="375"/>
      <c r="G502" s="456"/>
      <c r="H502" s="457"/>
      <c r="I502" s="475"/>
      <c r="J502" s="476"/>
    </row>
    <row r="503" spans="1:10" x14ac:dyDescent="0.2">
      <c r="A503" s="382" t="s">
        <v>531</v>
      </c>
      <c r="B503" s="383"/>
      <c r="C503" s="383"/>
      <c r="D503" s="384"/>
      <c r="E503" s="385"/>
      <c r="F503" s="385"/>
      <c r="G503" s="458"/>
      <c r="H503" s="459"/>
      <c r="I503" s="480"/>
      <c r="J503" s="481"/>
    </row>
    <row r="504" spans="1:10" x14ac:dyDescent="0.2">
      <c r="A504" s="372" t="s">
        <v>532</v>
      </c>
      <c r="B504" s="373"/>
      <c r="C504" s="373"/>
      <c r="D504" s="374"/>
      <c r="E504" s="375">
        <v>13887</v>
      </c>
      <c r="F504" s="375"/>
      <c r="G504" s="456"/>
      <c r="H504" s="457"/>
      <c r="I504" s="475"/>
      <c r="J504" s="476"/>
    </row>
    <row r="505" spans="1:10" x14ac:dyDescent="0.2">
      <c r="A505" s="382" t="s">
        <v>537</v>
      </c>
      <c r="B505" s="383"/>
      <c r="C505" s="383"/>
      <c r="D505" s="384"/>
      <c r="E505" s="482"/>
      <c r="F505" s="483"/>
      <c r="G505" s="482"/>
      <c r="H505" s="483"/>
      <c r="I505" s="484"/>
      <c r="J505" s="485"/>
    </row>
    <row r="506" spans="1:10" x14ac:dyDescent="0.2">
      <c r="A506" s="408" t="s">
        <v>964</v>
      </c>
      <c r="B506" s="409"/>
      <c r="C506" s="409"/>
      <c r="D506" s="410"/>
      <c r="E506" s="375">
        <v>23078</v>
      </c>
      <c r="F506" s="375"/>
      <c r="G506" s="456"/>
      <c r="H506" s="457"/>
      <c r="I506" s="456"/>
      <c r="J506" s="457"/>
    </row>
    <row r="507" spans="1:10" x14ac:dyDescent="0.2">
      <c r="A507" s="408"/>
      <c r="B507" s="409"/>
      <c r="C507" s="409"/>
      <c r="D507" s="410"/>
      <c r="E507" s="473"/>
      <c r="F507" s="474"/>
      <c r="G507" s="456"/>
      <c r="H507" s="457"/>
      <c r="I507" s="456"/>
      <c r="J507" s="457"/>
    </row>
    <row r="508" spans="1:10" x14ac:dyDescent="0.2">
      <c r="A508" s="408"/>
      <c r="B508" s="409"/>
      <c r="C508" s="409"/>
      <c r="D508" s="410"/>
      <c r="E508" s="473"/>
      <c r="F508" s="474"/>
      <c r="G508" s="456"/>
      <c r="H508" s="457"/>
      <c r="I508" s="456"/>
      <c r="J508" s="457"/>
    </row>
    <row r="509" spans="1:10" x14ac:dyDescent="0.2">
      <c r="A509" s="411" t="s">
        <v>534</v>
      </c>
      <c r="B509" s="412"/>
      <c r="C509" s="412"/>
      <c r="D509" s="413"/>
      <c r="E509" s="492">
        <f>SUM(E499:E508)</f>
        <v>3067927</v>
      </c>
      <c r="F509" s="493"/>
      <c r="G509" s="492">
        <f>SUM(G499:G508)</f>
        <v>0</v>
      </c>
      <c r="H509" s="493"/>
      <c r="I509" s="492">
        <f>SUM(I499:I508)</f>
        <v>0</v>
      </c>
      <c r="J509" s="493"/>
    </row>
    <row r="510" spans="1:10" ht="13.35" customHeight="1" x14ac:dyDescent="0.2">
      <c r="A510" s="415" t="s">
        <v>860</v>
      </c>
      <c r="B510" s="486"/>
      <c r="C510" s="486"/>
      <c r="D510" s="486"/>
      <c r="E510" s="486"/>
      <c r="F510" s="486"/>
      <c r="G510" s="486"/>
      <c r="H510" s="486"/>
      <c r="I510" s="486"/>
      <c r="J510" s="487"/>
    </row>
    <row r="511" spans="1:10" ht="13.35" customHeight="1" x14ac:dyDescent="0.2">
      <c r="A511" s="358" t="s">
        <v>861</v>
      </c>
      <c r="B511" s="488"/>
      <c r="C511" s="488"/>
      <c r="D511" s="488"/>
      <c r="E511" s="488"/>
      <c r="F511" s="488"/>
      <c r="G511" s="488"/>
      <c r="H511" s="488"/>
      <c r="I511" s="488"/>
      <c r="J511" s="489"/>
    </row>
    <row r="512" spans="1:10" ht="13.35" customHeight="1" x14ac:dyDescent="0.2">
      <c r="A512" s="358" t="s">
        <v>862</v>
      </c>
      <c r="B512" s="488"/>
      <c r="C512" s="488"/>
      <c r="D512" s="488"/>
      <c r="E512" s="488"/>
      <c r="F512" s="488"/>
      <c r="G512" s="488"/>
      <c r="H512" s="488"/>
      <c r="I512" s="488"/>
      <c r="J512" s="489"/>
    </row>
    <row r="513" spans="1:10" ht="13.35" customHeight="1" x14ac:dyDescent="0.2">
      <c r="A513" s="361" t="s">
        <v>863</v>
      </c>
      <c r="B513" s="490"/>
      <c r="C513" s="490"/>
      <c r="D513" s="490"/>
      <c r="E513" s="490"/>
      <c r="F513" s="490"/>
      <c r="G513" s="490"/>
      <c r="H513" s="490"/>
      <c r="I513" s="490"/>
      <c r="J513" s="491"/>
    </row>
    <row r="514" spans="1:10" ht="12.6" customHeight="1" x14ac:dyDescent="0.2">
      <c r="A514" s="446" t="s">
        <v>992</v>
      </c>
      <c r="B514" s="447"/>
      <c r="C514" s="447"/>
      <c r="D514" s="447"/>
      <c r="E514" s="447"/>
      <c r="F514" s="447"/>
      <c r="G514" s="447"/>
      <c r="H514" s="447"/>
      <c r="I514" s="447"/>
      <c r="J514" s="448"/>
    </row>
    <row r="515" spans="1:10" x14ac:dyDescent="0.2">
      <c r="A515" s="449"/>
      <c r="B515" s="450"/>
      <c r="C515" s="450"/>
      <c r="D515" s="450"/>
      <c r="E515" s="450"/>
      <c r="F515" s="450"/>
      <c r="G515" s="450"/>
      <c r="H515" s="450"/>
      <c r="I515" s="450"/>
      <c r="J515" s="451"/>
    </row>
    <row r="516" spans="1:10" x14ac:dyDescent="0.2">
      <c r="A516" s="449"/>
      <c r="B516" s="450"/>
      <c r="C516" s="450"/>
      <c r="D516" s="450"/>
      <c r="E516" s="450"/>
      <c r="F516" s="450"/>
      <c r="G516" s="450"/>
      <c r="H516" s="450"/>
      <c r="I516" s="450"/>
      <c r="J516" s="451"/>
    </row>
    <row r="517" spans="1:10" x14ac:dyDescent="0.2">
      <c r="A517" s="449"/>
      <c r="B517" s="450"/>
      <c r="C517" s="450"/>
      <c r="D517" s="450"/>
      <c r="E517" s="450"/>
      <c r="F517" s="450"/>
      <c r="G517" s="450"/>
      <c r="H517" s="450"/>
      <c r="I517" s="450"/>
      <c r="J517" s="451"/>
    </row>
    <row r="518" spans="1:10" x14ac:dyDescent="0.2">
      <c r="A518" s="449"/>
      <c r="B518" s="450"/>
      <c r="C518" s="450"/>
      <c r="D518" s="450"/>
      <c r="E518" s="450"/>
      <c r="F518" s="450"/>
      <c r="G518" s="450"/>
      <c r="H518" s="450"/>
      <c r="I518" s="450"/>
      <c r="J518" s="451"/>
    </row>
    <row r="519" spans="1:10" x14ac:dyDescent="0.2">
      <c r="A519" s="449"/>
      <c r="B519" s="450"/>
      <c r="C519" s="450"/>
      <c r="D519" s="450"/>
      <c r="E519" s="450"/>
      <c r="F519" s="450"/>
      <c r="G519" s="450"/>
      <c r="H519" s="450"/>
      <c r="I519" s="450"/>
      <c r="J519" s="451"/>
    </row>
    <row r="520" spans="1:10" x14ac:dyDescent="0.2">
      <c r="A520" s="449"/>
      <c r="B520" s="450"/>
      <c r="C520" s="450"/>
      <c r="D520" s="450"/>
      <c r="E520" s="450"/>
      <c r="F520" s="450"/>
      <c r="G520" s="450"/>
      <c r="H520" s="450"/>
      <c r="I520" s="450"/>
      <c r="J520" s="451"/>
    </row>
    <row r="521" spans="1:10" x14ac:dyDescent="0.2">
      <c r="A521" s="449"/>
      <c r="B521" s="450"/>
      <c r="C521" s="450"/>
      <c r="D521" s="450"/>
      <c r="E521" s="450"/>
      <c r="F521" s="450"/>
      <c r="G521" s="450"/>
      <c r="H521" s="450"/>
      <c r="I521" s="450"/>
      <c r="J521" s="451"/>
    </row>
    <row r="522" spans="1:10" x14ac:dyDescent="0.2">
      <c r="A522" s="449"/>
      <c r="B522" s="450"/>
      <c r="C522" s="450"/>
      <c r="D522" s="450"/>
      <c r="E522" s="450"/>
      <c r="F522" s="450"/>
      <c r="G522" s="450"/>
      <c r="H522" s="450"/>
      <c r="I522" s="450"/>
      <c r="J522" s="451"/>
    </row>
    <row r="523" spans="1:10" x14ac:dyDescent="0.2">
      <c r="A523" s="449"/>
      <c r="B523" s="450"/>
      <c r="C523" s="450"/>
      <c r="D523" s="450"/>
      <c r="E523" s="450"/>
      <c r="F523" s="450"/>
      <c r="G523" s="450"/>
      <c r="H523" s="450"/>
      <c r="I523" s="450"/>
      <c r="J523" s="451"/>
    </row>
    <row r="524" spans="1:10" x14ac:dyDescent="0.2">
      <c r="A524" s="449"/>
      <c r="B524" s="450"/>
      <c r="C524" s="450"/>
      <c r="D524" s="450"/>
      <c r="E524" s="450"/>
      <c r="F524" s="450"/>
      <c r="G524" s="450"/>
      <c r="H524" s="450"/>
      <c r="I524" s="450"/>
      <c r="J524" s="451"/>
    </row>
    <row r="525" spans="1:10" x14ac:dyDescent="0.2">
      <c r="A525" s="449"/>
      <c r="B525" s="450"/>
      <c r="C525" s="450"/>
      <c r="D525" s="450"/>
      <c r="E525" s="450"/>
      <c r="F525" s="450"/>
      <c r="G525" s="450"/>
      <c r="H525" s="450"/>
      <c r="I525" s="450"/>
      <c r="J525" s="451"/>
    </row>
    <row r="526" spans="1:10" x14ac:dyDescent="0.2">
      <c r="A526" s="449"/>
      <c r="B526" s="450"/>
      <c r="C526" s="450"/>
      <c r="D526" s="450"/>
      <c r="E526" s="450"/>
      <c r="F526" s="450"/>
      <c r="G526" s="450"/>
      <c r="H526" s="450"/>
      <c r="I526" s="450"/>
      <c r="J526" s="451"/>
    </row>
    <row r="527" spans="1:10" x14ac:dyDescent="0.2">
      <c r="A527" s="449"/>
      <c r="B527" s="450"/>
      <c r="C527" s="450"/>
      <c r="D527" s="450"/>
      <c r="E527" s="450"/>
      <c r="F527" s="450"/>
      <c r="G527" s="450"/>
      <c r="H527" s="450"/>
      <c r="I527" s="450"/>
      <c r="J527" s="451"/>
    </row>
    <row r="528" spans="1:10" x14ac:dyDescent="0.2">
      <c r="A528" s="449"/>
      <c r="B528" s="450"/>
      <c r="C528" s="450"/>
      <c r="D528" s="450"/>
      <c r="E528" s="450"/>
      <c r="F528" s="450"/>
      <c r="G528" s="450"/>
      <c r="H528" s="450"/>
      <c r="I528" s="450"/>
      <c r="J528" s="451"/>
    </row>
    <row r="529" spans="1:10" x14ac:dyDescent="0.2">
      <c r="A529" s="449"/>
      <c r="B529" s="450"/>
      <c r="C529" s="450"/>
      <c r="D529" s="450"/>
      <c r="E529" s="450"/>
      <c r="F529" s="450"/>
      <c r="G529" s="450"/>
      <c r="H529" s="450"/>
      <c r="I529" s="450"/>
      <c r="J529" s="451"/>
    </row>
    <row r="530" spans="1:10" x14ac:dyDescent="0.2">
      <c r="A530" s="449"/>
      <c r="B530" s="450"/>
      <c r="C530" s="450"/>
      <c r="D530" s="450"/>
      <c r="E530" s="450"/>
      <c r="F530" s="450"/>
      <c r="G530" s="450"/>
      <c r="H530" s="450"/>
      <c r="I530" s="450"/>
      <c r="J530" s="451"/>
    </row>
    <row r="531" spans="1:10" x14ac:dyDescent="0.2">
      <c r="A531" s="449"/>
      <c r="B531" s="450"/>
      <c r="C531" s="450"/>
      <c r="D531" s="450"/>
      <c r="E531" s="450"/>
      <c r="F531" s="450"/>
      <c r="G531" s="450"/>
      <c r="H531" s="450"/>
      <c r="I531" s="450"/>
      <c r="J531" s="451"/>
    </row>
    <row r="532" spans="1:10" x14ac:dyDescent="0.2">
      <c r="A532" s="449"/>
      <c r="B532" s="450"/>
      <c r="C532" s="450"/>
      <c r="D532" s="450"/>
      <c r="E532" s="450"/>
      <c r="F532" s="450"/>
      <c r="G532" s="450"/>
      <c r="H532" s="450"/>
      <c r="I532" s="450"/>
      <c r="J532" s="451"/>
    </row>
    <row r="533" spans="1:10" x14ac:dyDescent="0.2">
      <c r="A533" s="449"/>
      <c r="B533" s="450"/>
      <c r="C533" s="450"/>
      <c r="D533" s="450"/>
      <c r="E533" s="450"/>
      <c r="F533" s="450"/>
      <c r="G533" s="450"/>
      <c r="H533" s="450"/>
      <c r="I533" s="450"/>
      <c r="J533" s="451"/>
    </row>
    <row r="534" spans="1:10" x14ac:dyDescent="0.2">
      <c r="A534" s="449"/>
      <c r="B534" s="450"/>
      <c r="C534" s="450"/>
      <c r="D534" s="450"/>
      <c r="E534" s="450"/>
      <c r="F534" s="450"/>
      <c r="G534" s="450"/>
      <c r="H534" s="450"/>
      <c r="I534" s="450"/>
      <c r="J534" s="451"/>
    </row>
    <row r="535" spans="1:10" x14ac:dyDescent="0.2">
      <c r="A535" s="449"/>
      <c r="B535" s="450"/>
      <c r="C535" s="450"/>
      <c r="D535" s="450"/>
      <c r="E535" s="450"/>
      <c r="F535" s="450"/>
      <c r="G535" s="450"/>
      <c r="H535" s="450"/>
      <c r="I535" s="450"/>
      <c r="J535" s="451"/>
    </row>
    <row r="536" spans="1:10" x14ac:dyDescent="0.2">
      <c r="A536" s="449"/>
      <c r="B536" s="450"/>
      <c r="C536" s="450"/>
      <c r="D536" s="450"/>
      <c r="E536" s="450"/>
      <c r="F536" s="450"/>
      <c r="G536" s="450"/>
      <c r="H536" s="450"/>
      <c r="I536" s="450"/>
      <c r="J536" s="451"/>
    </row>
    <row r="537" spans="1:10" x14ac:dyDescent="0.2">
      <c r="A537" s="449"/>
      <c r="B537" s="450"/>
      <c r="C537" s="450"/>
      <c r="D537" s="450"/>
      <c r="E537" s="450"/>
      <c r="F537" s="450"/>
      <c r="G537" s="450"/>
      <c r="H537" s="450"/>
      <c r="I537" s="450"/>
      <c r="J537" s="451"/>
    </row>
    <row r="538" spans="1:10" x14ac:dyDescent="0.2">
      <c r="A538" s="449"/>
      <c r="B538" s="450"/>
      <c r="C538" s="450"/>
      <c r="D538" s="450"/>
      <c r="E538" s="450"/>
      <c r="F538" s="450"/>
      <c r="G538" s="450"/>
      <c r="H538" s="450"/>
      <c r="I538" s="450"/>
      <c r="J538" s="451"/>
    </row>
    <row r="539" spans="1:10" x14ac:dyDescent="0.2">
      <c r="A539" s="449"/>
      <c r="B539" s="450"/>
      <c r="C539" s="450"/>
      <c r="D539" s="450"/>
      <c r="E539" s="450"/>
      <c r="F539" s="450"/>
      <c r="G539" s="450"/>
      <c r="H539" s="450"/>
      <c r="I539" s="450"/>
      <c r="J539" s="451"/>
    </row>
    <row r="540" spans="1:10" x14ac:dyDescent="0.2">
      <c r="A540" s="449"/>
      <c r="B540" s="450"/>
      <c r="C540" s="450"/>
      <c r="D540" s="450"/>
      <c r="E540" s="450"/>
      <c r="F540" s="450"/>
      <c r="G540" s="450"/>
      <c r="H540" s="450"/>
      <c r="I540" s="450"/>
      <c r="J540" s="451"/>
    </row>
    <row r="541" spans="1:10" x14ac:dyDescent="0.2">
      <c r="A541" s="449"/>
      <c r="B541" s="450"/>
      <c r="C541" s="450"/>
      <c r="D541" s="450"/>
      <c r="E541" s="450"/>
      <c r="F541" s="450"/>
      <c r="G541" s="450"/>
      <c r="H541" s="450"/>
      <c r="I541" s="450"/>
      <c r="J541" s="451"/>
    </row>
    <row r="542" spans="1:10" x14ac:dyDescent="0.2">
      <c r="A542" s="449"/>
      <c r="B542" s="450"/>
      <c r="C542" s="450"/>
      <c r="D542" s="450"/>
      <c r="E542" s="450"/>
      <c r="F542" s="450"/>
      <c r="G542" s="450"/>
      <c r="H542" s="450"/>
      <c r="I542" s="450"/>
      <c r="J542" s="451"/>
    </row>
    <row r="543" spans="1:10" x14ac:dyDescent="0.2">
      <c r="A543" s="449"/>
      <c r="B543" s="450"/>
      <c r="C543" s="450"/>
      <c r="D543" s="450"/>
      <c r="E543" s="450"/>
      <c r="F543" s="450"/>
      <c r="G543" s="450"/>
      <c r="H543" s="450"/>
      <c r="I543" s="450"/>
      <c r="J543" s="451"/>
    </row>
    <row r="544" spans="1:10" x14ac:dyDescent="0.2">
      <c r="A544" s="452"/>
      <c r="B544" s="453"/>
      <c r="C544" s="453"/>
      <c r="D544" s="453"/>
      <c r="E544" s="453"/>
      <c r="F544" s="453"/>
      <c r="G544" s="453"/>
      <c r="H544" s="453"/>
      <c r="I544" s="453"/>
      <c r="J544" s="454"/>
    </row>
    <row r="545" spans="1:10" x14ac:dyDescent="0.2">
      <c r="A545" s="143"/>
      <c r="B545" s="143"/>
      <c r="C545" s="143"/>
      <c r="D545" s="143"/>
      <c r="E545" s="143"/>
      <c r="F545" s="143"/>
      <c r="G545" s="143"/>
      <c r="H545" s="143"/>
      <c r="I545" s="143"/>
      <c r="J545" s="143"/>
    </row>
    <row r="546" spans="1:10" ht="15.75" x14ac:dyDescent="0.25">
      <c r="A546" s="280" t="s">
        <v>847</v>
      </c>
      <c r="B546" s="281"/>
      <c r="C546" s="281"/>
      <c r="D546" s="281"/>
      <c r="E546" s="281"/>
      <c r="F546" s="281"/>
      <c r="G546" s="281"/>
      <c r="H546" s="278" t="str">
        <f>'CONTACT INFORMATION'!$A$24</f>
        <v>Los Angeles</v>
      </c>
      <c r="I546" s="278"/>
      <c r="J546" s="279"/>
    </row>
    <row r="547" spans="1:10" ht="15.75" x14ac:dyDescent="0.25">
      <c r="A547" s="43"/>
      <c r="B547" s="43"/>
      <c r="C547" s="43"/>
      <c r="D547" s="43"/>
      <c r="E547" s="43"/>
      <c r="F547" s="43"/>
      <c r="G547" s="43"/>
      <c r="H547" s="43"/>
      <c r="I547" s="43"/>
      <c r="J547" s="43"/>
    </row>
    <row r="548" spans="1:10" ht="15" x14ac:dyDescent="0.25">
      <c r="A548" s="387" t="s">
        <v>906</v>
      </c>
      <c r="B548" s="388"/>
      <c r="C548" s="388"/>
      <c r="D548" s="388"/>
      <c r="E548" s="388"/>
      <c r="F548" s="388"/>
      <c r="G548" s="388"/>
      <c r="H548" s="388"/>
      <c r="I548" s="388"/>
      <c r="J548" s="389"/>
    </row>
    <row r="549" spans="1:10" ht="13.35" customHeight="1" x14ac:dyDescent="0.2">
      <c r="A549" s="390" t="s">
        <v>853</v>
      </c>
      <c r="B549" s="444"/>
      <c r="C549" s="444"/>
      <c r="D549" s="445"/>
      <c r="E549" s="393" t="s">
        <v>956</v>
      </c>
      <c r="F549" s="394"/>
      <c r="G549" s="394"/>
      <c r="H549" s="394"/>
      <c r="I549" s="394"/>
      <c r="J549" s="395"/>
    </row>
    <row r="550" spans="1:10" ht="13.35" customHeight="1" x14ac:dyDescent="0.2">
      <c r="A550" s="399" t="s">
        <v>852</v>
      </c>
      <c r="B550" s="400"/>
      <c r="C550" s="400"/>
      <c r="D550" s="401"/>
      <c r="E550" s="396"/>
      <c r="F550" s="397"/>
      <c r="G550" s="397"/>
      <c r="H550" s="397"/>
      <c r="I550" s="397"/>
      <c r="J550" s="398"/>
    </row>
    <row r="551" spans="1:10" x14ac:dyDescent="0.2">
      <c r="A551" s="460" t="s">
        <v>808</v>
      </c>
      <c r="B551" s="461"/>
      <c r="C551" s="461"/>
      <c r="D551" s="462"/>
      <c r="E551" s="405"/>
      <c r="F551" s="406"/>
      <c r="G551" s="406"/>
      <c r="H551" s="406"/>
      <c r="I551" s="406"/>
      <c r="J551" s="407"/>
    </row>
    <row r="552" spans="1:10" ht="13.35" customHeight="1" x14ac:dyDescent="0.2">
      <c r="A552" s="44"/>
      <c r="B552" s="45"/>
      <c r="C552" s="45"/>
      <c r="D552" s="45"/>
      <c r="E552" s="477" t="s">
        <v>535</v>
      </c>
      <c r="F552" s="477"/>
      <c r="G552" s="477" t="s">
        <v>533</v>
      </c>
      <c r="H552" s="477"/>
      <c r="I552" s="478" t="s">
        <v>848</v>
      </c>
      <c r="J552" s="479"/>
    </row>
    <row r="553" spans="1:10" x14ac:dyDescent="0.2">
      <c r="A553" s="382" t="s">
        <v>527</v>
      </c>
      <c r="B553" s="383"/>
      <c r="C553" s="383"/>
      <c r="D553" s="384"/>
      <c r="E553" s="458"/>
      <c r="F553" s="459"/>
      <c r="G553" s="458"/>
      <c r="H553" s="459"/>
      <c r="I553" s="480"/>
      <c r="J553" s="481"/>
    </row>
    <row r="554" spans="1:10" x14ac:dyDescent="0.2">
      <c r="A554" s="372" t="s">
        <v>528</v>
      </c>
      <c r="B554" s="373"/>
      <c r="C554" s="373"/>
      <c r="D554" s="374"/>
      <c r="E554" s="375">
        <v>160793</v>
      </c>
      <c r="F554" s="375"/>
      <c r="G554" s="456"/>
      <c r="H554" s="457"/>
      <c r="I554" s="475"/>
      <c r="J554" s="476"/>
    </row>
    <row r="555" spans="1:10" x14ac:dyDescent="0.2">
      <c r="A555" s="382" t="s">
        <v>529</v>
      </c>
      <c r="B555" s="383"/>
      <c r="C555" s="383"/>
      <c r="D555" s="384"/>
      <c r="E555" s="385">
        <v>2753</v>
      </c>
      <c r="F555" s="385"/>
      <c r="G555" s="458"/>
      <c r="H555" s="459"/>
      <c r="I555" s="480"/>
      <c r="J555" s="481"/>
    </row>
    <row r="556" spans="1:10" x14ac:dyDescent="0.2">
      <c r="A556" s="372" t="s">
        <v>530</v>
      </c>
      <c r="B556" s="373"/>
      <c r="C556" s="373"/>
      <c r="D556" s="374"/>
      <c r="E556" s="375">
        <v>8690</v>
      </c>
      <c r="F556" s="375"/>
      <c r="G556" s="456"/>
      <c r="H556" s="457"/>
      <c r="I556" s="475"/>
      <c r="J556" s="476"/>
    </row>
    <row r="557" spans="1:10" x14ac:dyDescent="0.2">
      <c r="A557" s="382" t="s">
        <v>531</v>
      </c>
      <c r="B557" s="383"/>
      <c r="C557" s="383"/>
      <c r="D557" s="384"/>
      <c r="E557" s="385"/>
      <c r="F557" s="385"/>
      <c r="G557" s="458"/>
      <c r="H557" s="459"/>
      <c r="I557" s="480"/>
      <c r="J557" s="481"/>
    </row>
    <row r="558" spans="1:10" x14ac:dyDescent="0.2">
      <c r="A558" s="372" t="s">
        <v>532</v>
      </c>
      <c r="B558" s="373"/>
      <c r="C558" s="373"/>
      <c r="D558" s="374"/>
      <c r="E558" s="375">
        <v>789</v>
      </c>
      <c r="F558" s="375"/>
      <c r="G558" s="456"/>
      <c r="H558" s="457"/>
      <c r="I558" s="475"/>
      <c r="J558" s="476"/>
    </row>
    <row r="559" spans="1:10" x14ac:dyDescent="0.2">
      <c r="A559" s="382" t="s">
        <v>537</v>
      </c>
      <c r="B559" s="383"/>
      <c r="C559" s="383"/>
      <c r="D559" s="384"/>
      <c r="E559" s="482"/>
      <c r="F559" s="483"/>
      <c r="G559" s="482"/>
      <c r="H559" s="483"/>
      <c r="I559" s="484"/>
      <c r="J559" s="485"/>
    </row>
    <row r="560" spans="1:10" x14ac:dyDescent="0.2">
      <c r="A560" s="408" t="s">
        <v>963</v>
      </c>
      <c r="B560" s="409"/>
      <c r="C560" s="409"/>
      <c r="D560" s="410"/>
      <c r="E560" s="375">
        <v>2034</v>
      </c>
      <c r="F560" s="375"/>
      <c r="G560" s="456"/>
      <c r="H560" s="457"/>
      <c r="I560" s="456"/>
      <c r="J560" s="457"/>
    </row>
    <row r="561" spans="1:10" x14ac:dyDescent="0.2">
      <c r="A561" s="408" t="s">
        <v>964</v>
      </c>
      <c r="B561" s="409"/>
      <c r="C561" s="409"/>
      <c r="D561" s="410"/>
      <c r="E561" s="375">
        <v>1311</v>
      </c>
      <c r="F561" s="375"/>
      <c r="G561" s="456"/>
      <c r="H561" s="457"/>
      <c r="I561" s="456"/>
      <c r="J561" s="457"/>
    </row>
    <row r="562" spans="1:10" x14ac:dyDescent="0.2">
      <c r="A562" s="408"/>
      <c r="B562" s="409"/>
      <c r="C562" s="409"/>
      <c r="D562" s="410"/>
      <c r="E562" s="473"/>
      <c r="F562" s="474"/>
      <c r="G562" s="456"/>
      <c r="H562" s="457"/>
      <c r="I562" s="456"/>
      <c r="J562" s="457"/>
    </row>
    <row r="563" spans="1:10" x14ac:dyDescent="0.2">
      <c r="A563" s="411" t="s">
        <v>534</v>
      </c>
      <c r="B563" s="412"/>
      <c r="C563" s="412"/>
      <c r="D563" s="413"/>
      <c r="E563" s="492">
        <f>SUM(E553:E562)</f>
        <v>176370</v>
      </c>
      <c r="F563" s="493"/>
      <c r="G563" s="492">
        <f>SUM(G553:G562)</f>
        <v>0</v>
      </c>
      <c r="H563" s="493"/>
      <c r="I563" s="492">
        <f>SUM(I553:I562)</f>
        <v>0</v>
      </c>
      <c r="J563" s="493"/>
    </row>
    <row r="564" spans="1:10" ht="13.35" customHeight="1" x14ac:dyDescent="0.2">
      <c r="A564" s="415" t="s">
        <v>860</v>
      </c>
      <c r="B564" s="486"/>
      <c r="C564" s="486"/>
      <c r="D564" s="486"/>
      <c r="E564" s="486"/>
      <c r="F564" s="486"/>
      <c r="G564" s="486"/>
      <c r="H564" s="486"/>
      <c r="I564" s="486"/>
      <c r="J564" s="487"/>
    </row>
    <row r="565" spans="1:10" ht="13.35" customHeight="1" x14ac:dyDescent="0.2">
      <c r="A565" s="358" t="s">
        <v>861</v>
      </c>
      <c r="B565" s="488"/>
      <c r="C565" s="488"/>
      <c r="D565" s="488"/>
      <c r="E565" s="488"/>
      <c r="F565" s="488"/>
      <c r="G565" s="488"/>
      <c r="H565" s="488"/>
      <c r="I565" s="488"/>
      <c r="J565" s="489"/>
    </row>
    <row r="566" spans="1:10" ht="13.35" customHeight="1" x14ac:dyDescent="0.2">
      <c r="A566" s="358" t="s">
        <v>862</v>
      </c>
      <c r="B566" s="488"/>
      <c r="C566" s="488"/>
      <c r="D566" s="488"/>
      <c r="E566" s="488"/>
      <c r="F566" s="488"/>
      <c r="G566" s="488"/>
      <c r="H566" s="488"/>
      <c r="I566" s="488"/>
      <c r="J566" s="489"/>
    </row>
    <row r="567" spans="1:10" ht="13.35" customHeight="1" x14ac:dyDescent="0.2">
      <c r="A567" s="361" t="s">
        <v>863</v>
      </c>
      <c r="B567" s="490"/>
      <c r="C567" s="490"/>
      <c r="D567" s="490"/>
      <c r="E567" s="490"/>
      <c r="F567" s="490"/>
      <c r="G567" s="490"/>
      <c r="H567" s="490"/>
      <c r="I567" s="490"/>
      <c r="J567" s="491"/>
    </row>
    <row r="568" spans="1:10" ht="12.75" customHeight="1" x14ac:dyDescent="0.2">
      <c r="A568" s="446" t="s">
        <v>957</v>
      </c>
      <c r="B568" s="447"/>
      <c r="C568" s="447"/>
      <c r="D568" s="447"/>
      <c r="E568" s="447"/>
      <c r="F568" s="447"/>
      <c r="G568" s="447"/>
      <c r="H568" s="447"/>
      <c r="I568" s="447"/>
      <c r="J568" s="448"/>
    </row>
    <row r="569" spans="1:10" x14ac:dyDescent="0.2">
      <c r="A569" s="449"/>
      <c r="B569" s="450"/>
      <c r="C569" s="450"/>
      <c r="D569" s="450"/>
      <c r="E569" s="450"/>
      <c r="F569" s="450"/>
      <c r="G569" s="450"/>
      <c r="H569" s="450"/>
      <c r="I569" s="450"/>
      <c r="J569" s="451"/>
    </row>
    <row r="570" spans="1:10" x14ac:dyDescent="0.2">
      <c r="A570" s="449"/>
      <c r="B570" s="450"/>
      <c r="C570" s="450"/>
      <c r="D570" s="450"/>
      <c r="E570" s="450"/>
      <c r="F570" s="450"/>
      <c r="G570" s="450"/>
      <c r="H570" s="450"/>
      <c r="I570" s="450"/>
      <c r="J570" s="451"/>
    </row>
    <row r="571" spans="1:10" x14ac:dyDescent="0.2">
      <c r="A571" s="449"/>
      <c r="B571" s="450"/>
      <c r="C571" s="450"/>
      <c r="D571" s="450"/>
      <c r="E571" s="450"/>
      <c r="F571" s="450"/>
      <c r="G571" s="450"/>
      <c r="H571" s="450"/>
      <c r="I571" s="450"/>
      <c r="J571" s="451"/>
    </row>
    <row r="572" spans="1:10" x14ac:dyDescent="0.2">
      <c r="A572" s="449"/>
      <c r="B572" s="450"/>
      <c r="C572" s="450"/>
      <c r="D572" s="450"/>
      <c r="E572" s="450"/>
      <c r="F572" s="450"/>
      <c r="G572" s="450"/>
      <c r="H572" s="450"/>
      <c r="I572" s="450"/>
      <c r="J572" s="451"/>
    </row>
    <row r="573" spans="1:10" x14ac:dyDescent="0.2">
      <c r="A573" s="449"/>
      <c r="B573" s="450"/>
      <c r="C573" s="450"/>
      <c r="D573" s="450"/>
      <c r="E573" s="450"/>
      <c r="F573" s="450"/>
      <c r="G573" s="450"/>
      <c r="H573" s="450"/>
      <c r="I573" s="450"/>
      <c r="J573" s="451"/>
    </row>
    <row r="574" spans="1:10" x14ac:dyDescent="0.2">
      <c r="A574" s="449"/>
      <c r="B574" s="450"/>
      <c r="C574" s="450"/>
      <c r="D574" s="450"/>
      <c r="E574" s="450"/>
      <c r="F574" s="450"/>
      <c r="G574" s="450"/>
      <c r="H574" s="450"/>
      <c r="I574" s="450"/>
      <c r="J574" s="451"/>
    </row>
    <row r="575" spans="1:10" x14ac:dyDescent="0.2">
      <c r="A575" s="449"/>
      <c r="B575" s="450"/>
      <c r="C575" s="450"/>
      <c r="D575" s="450"/>
      <c r="E575" s="450"/>
      <c r="F575" s="450"/>
      <c r="G575" s="450"/>
      <c r="H575" s="450"/>
      <c r="I575" s="450"/>
      <c r="J575" s="451"/>
    </row>
    <row r="576" spans="1:10" x14ac:dyDescent="0.2">
      <c r="A576" s="449"/>
      <c r="B576" s="450"/>
      <c r="C576" s="450"/>
      <c r="D576" s="450"/>
      <c r="E576" s="450"/>
      <c r="F576" s="450"/>
      <c r="G576" s="450"/>
      <c r="H576" s="450"/>
      <c r="I576" s="450"/>
      <c r="J576" s="451"/>
    </row>
    <row r="577" spans="1:10" x14ac:dyDescent="0.2">
      <c r="A577" s="449"/>
      <c r="B577" s="450"/>
      <c r="C577" s="450"/>
      <c r="D577" s="450"/>
      <c r="E577" s="450"/>
      <c r="F577" s="450"/>
      <c r="G577" s="450"/>
      <c r="H577" s="450"/>
      <c r="I577" s="450"/>
      <c r="J577" s="451"/>
    </row>
    <row r="578" spans="1:10" x14ac:dyDescent="0.2">
      <c r="A578" s="449"/>
      <c r="B578" s="450"/>
      <c r="C578" s="450"/>
      <c r="D578" s="450"/>
      <c r="E578" s="450"/>
      <c r="F578" s="450"/>
      <c r="G578" s="450"/>
      <c r="H578" s="450"/>
      <c r="I578" s="450"/>
      <c r="J578" s="451"/>
    </row>
    <row r="579" spans="1:10" x14ac:dyDescent="0.2">
      <c r="A579" s="449"/>
      <c r="B579" s="450"/>
      <c r="C579" s="450"/>
      <c r="D579" s="450"/>
      <c r="E579" s="450"/>
      <c r="F579" s="450"/>
      <c r="G579" s="450"/>
      <c r="H579" s="450"/>
      <c r="I579" s="450"/>
      <c r="J579" s="451"/>
    </row>
    <row r="580" spans="1:10" x14ac:dyDescent="0.2">
      <c r="A580" s="449"/>
      <c r="B580" s="450"/>
      <c r="C580" s="450"/>
      <c r="D580" s="450"/>
      <c r="E580" s="450"/>
      <c r="F580" s="450"/>
      <c r="G580" s="450"/>
      <c r="H580" s="450"/>
      <c r="I580" s="450"/>
      <c r="J580" s="451"/>
    </row>
    <row r="581" spans="1:10" x14ac:dyDescent="0.2">
      <c r="A581" s="449"/>
      <c r="B581" s="450"/>
      <c r="C581" s="450"/>
      <c r="D581" s="450"/>
      <c r="E581" s="450"/>
      <c r="F581" s="450"/>
      <c r="G581" s="450"/>
      <c r="H581" s="450"/>
      <c r="I581" s="450"/>
      <c r="J581" s="451"/>
    </row>
    <row r="582" spans="1:10" x14ac:dyDescent="0.2">
      <c r="A582" s="449"/>
      <c r="B582" s="450"/>
      <c r="C582" s="450"/>
      <c r="D582" s="450"/>
      <c r="E582" s="450"/>
      <c r="F582" s="450"/>
      <c r="G582" s="450"/>
      <c r="H582" s="450"/>
      <c r="I582" s="450"/>
      <c r="J582" s="451"/>
    </row>
    <row r="583" spans="1:10" x14ac:dyDescent="0.2">
      <c r="A583" s="449"/>
      <c r="B583" s="450"/>
      <c r="C583" s="450"/>
      <c r="D583" s="450"/>
      <c r="E583" s="450"/>
      <c r="F583" s="450"/>
      <c r="G583" s="450"/>
      <c r="H583" s="450"/>
      <c r="I583" s="450"/>
      <c r="J583" s="451"/>
    </row>
    <row r="584" spans="1:10" x14ac:dyDescent="0.2">
      <c r="A584" s="449"/>
      <c r="B584" s="450"/>
      <c r="C584" s="450"/>
      <c r="D584" s="450"/>
      <c r="E584" s="450"/>
      <c r="F584" s="450"/>
      <c r="G584" s="450"/>
      <c r="H584" s="450"/>
      <c r="I584" s="450"/>
      <c r="J584" s="451"/>
    </row>
    <row r="585" spans="1:10" x14ac:dyDescent="0.2">
      <c r="A585" s="449"/>
      <c r="B585" s="450"/>
      <c r="C585" s="450"/>
      <c r="D585" s="450"/>
      <c r="E585" s="450"/>
      <c r="F585" s="450"/>
      <c r="G585" s="450"/>
      <c r="H585" s="450"/>
      <c r="I585" s="450"/>
      <c r="J585" s="451"/>
    </row>
    <row r="586" spans="1:10" x14ac:dyDescent="0.2">
      <c r="A586" s="449"/>
      <c r="B586" s="450"/>
      <c r="C586" s="450"/>
      <c r="D586" s="450"/>
      <c r="E586" s="450"/>
      <c r="F586" s="450"/>
      <c r="G586" s="450"/>
      <c r="H586" s="450"/>
      <c r="I586" s="450"/>
      <c r="J586" s="451"/>
    </row>
    <row r="587" spans="1:10" x14ac:dyDescent="0.2">
      <c r="A587" s="449"/>
      <c r="B587" s="450"/>
      <c r="C587" s="450"/>
      <c r="D587" s="450"/>
      <c r="E587" s="450"/>
      <c r="F587" s="450"/>
      <c r="G587" s="450"/>
      <c r="H587" s="450"/>
      <c r="I587" s="450"/>
      <c r="J587" s="451"/>
    </row>
    <row r="588" spans="1:10" x14ac:dyDescent="0.2">
      <c r="A588" s="449"/>
      <c r="B588" s="450"/>
      <c r="C588" s="450"/>
      <c r="D588" s="450"/>
      <c r="E588" s="450"/>
      <c r="F588" s="450"/>
      <c r="G588" s="450"/>
      <c r="H588" s="450"/>
      <c r="I588" s="450"/>
      <c r="J588" s="451"/>
    </row>
    <row r="589" spans="1:10" x14ac:dyDescent="0.2">
      <c r="A589" s="449"/>
      <c r="B589" s="450"/>
      <c r="C589" s="450"/>
      <c r="D589" s="450"/>
      <c r="E589" s="450"/>
      <c r="F589" s="450"/>
      <c r="G589" s="450"/>
      <c r="H589" s="450"/>
      <c r="I589" s="450"/>
      <c r="J589" s="451"/>
    </row>
    <row r="590" spans="1:10" x14ac:dyDescent="0.2">
      <c r="A590" s="449"/>
      <c r="B590" s="450"/>
      <c r="C590" s="450"/>
      <c r="D590" s="450"/>
      <c r="E590" s="450"/>
      <c r="F590" s="450"/>
      <c r="G590" s="450"/>
      <c r="H590" s="450"/>
      <c r="I590" s="450"/>
      <c r="J590" s="451"/>
    </row>
    <row r="591" spans="1:10" x14ac:dyDescent="0.2">
      <c r="A591" s="449"/>
      <c r="B591" s="450"/>
      <c r="C591" s="450"/>
      <c r="D591" s="450"/>
      <c r="E591" s="450"/>
      <c r="F591" s="450"/>
      <c r="G591" s="450"/>
      <c r="H591" s="450"/>
      <c r="I591" s="450"/>
      <c r="J591" s="451"/>
    </row>
    <row r="592" spans="1:10" x14ac:dyDescent="0.2">
      <c r="A592" s="449"/>
      <c r="B592" s="450"/>
      <c r="C592" s="450"/>
      <c r="D592" s="450"/>
      <c r="E592" s="450"/>
      <c r="F592" s="450"/>
      <c r="G592" s="450"/>
      <c r="H592" s="450"/>
      <c r="I592" s="450"/>
      <c r="J592" s="451"/>
    </row>
    <row r="593" spans="1:10" x14ac:dyDescent="0.2">
      <c r="A593" s="449"/>
      <c r="B593" s="450"/>
      <c r="C593" s="450"/>
      <c r="D593" s="450"/>
      <c r="E593" s="450"/>
      <c r="F593" s="450"/>
      <c r="G593" s="450"/>
      <c r="H593" s="450"/>
      <c r="I593" s="450"/>
      <c r="J593" s="451"/>
    </row>
    <row r="594" spans="1:10" x14ac:dyDescent="0.2">
      <c r="A594" s="449"/>
      <c r="B594" s="450"/>
      <c r="C594" s="450"/>
      <c r="D594" s="450"/>
      <c r="E594" s="450"/>
      <c r="F594" s="450"/>
      <c r="G594" s="450"/>
      <c r="H594" s="450"/>
      <c r="I594" s="450"/>
      <c r="J594" s="451"/>
    </row>
    <row r="595" spans="1:10" x14ac:dyDescent="0.2">
      <c r="A595" s="449"/>
      <c r="B595" s="450"/>
      <c r="C595" s="450"/>
      <c r="D595" s="450"/>
      <c r="E595" s="450"/>
      <c r="F595" s="450"/>
      <c r="G595" s="450"/>
      <c r="H595" s="450"/>
      <c r="I595" s="450"/>
      <c r="J595" s="451"/>
    </row>
    <row r="596" spans="1:10" x14ac:dyDescent="0.2">
      <c r="A596" s="449"/>
      <c r="B596" s="450"/>
      <c r="C596" s="450"/>
      <c r="D596" s="450"/>
      <c r="E596" s="450"/>
      <c r="F596" s="450"/>
      <c r="G596" s="450"/>
      <c r="H596" s="450"/>
      <c r="I596" s="450"/>
      <c r="J596" s="451"/>
    </row>
    <row r="597" spans="1:10" x14ac:dyDescent="0.2">
      <c r="A597" s="449"/>
      <c r="B597" s="450"/>
      <c r="C597" s="450"/>
      <c r="D597" s="450"/>
      <c r="E597" s="450"/>
      <c r="F597" s="450"/>
      <c r="G597" s="450"/>
      <c r="H597" s="450"/>
      <c r="I597" s="450"/>
      <c r="J597" s="451"/>
    </row>
    <row r="598" spans="1:10" x14ac:dyDescent="0.2">
      <c r="A598" s="452"/>
      <c r="B598" s="453"/>
      <c r="C598" s="453"/>
      <c r="D598" s="453"/>
      <c r="E598" s="453"/>
      <c r="F598" s="453"/>
      <c r="G598" s="453"/>
      <c r="H598" s="453"/>
      <c r="I598" s="453"/>
      <c r="J598" s="454"/>
    </row>
    <row r="599" spans="1:10" x14ac:dyDescent="0.2">
      <c r="A599" s="143"/>
      <c r="B599" s="143"/>
      <c r="C599" s="143"/>
      <c r="D599" s="143"/>
      <c r="E599" s="143"/>
      <c r="F599" s="143"/>
      <c r="G599" s="143"/>
      <c r="H599" s="143"/>
      <c r="I599" s="143"/>
      <c r="J599" s="143"/>
    </row>
    <row r="600" spans="1:10" ht="15.75" x14ac:dyDescent="0.25">
      <c r="A600" s="280" t="s">
        <v>847</v>
      </c>
      <c r="B600" s="281"/>
      <c r="C600" s="281"/>
      <c r="D600" s="281"/>
      <c r="E600" s="281"/>
      <c r="F600" s="281"/>
      <c r="G600" s="281"/>
      <c r="H600" s="278" t="str">
        <f>'CONTACT INFORMATION'!$A$24</f>
        <v>Los Angeles</v>
      </c>
      <c r="I600" s="278"/>
      <c r="J600" s="279"/>
    </row>
    <row r="601" spans="1:10" ht="15.75" x14ac:dyDescent="0.25">
      <c r="A601" s="43"/>
      <c r="B601" s="43"/>
      <c r="C601" s="43"/>
      <c r="D601" s="43"/>
      <c r="E601" s="43"/>
      <c r="F601" s="43"/>
      <c r="G601" s="43"/>
      <c r="H601" s="43"/>
      <c r="I601" s="43"/>
      <c r="J601" s="43"/>
    </row>
    <row r="602" spans="1:10" ht="15" x14ac:dyDescent="0.25">
      <c r="A602" s="387" t="s">
        <v>907</v>
      </c>
      <c r="B602" s="388"/>
      <c r="C602" s="388"/>
      <c r="D602" s="388"/>
      <c r="E602" s="388"/>
      <c r="F602" s="388"/>
      <c r="G602" s="388"/>
      <c r="H602" s="388"/>
      <c r="I602" s="388"/>
      <c r="J602" s="389"/>
    </row>
    <row r="603" spans="1:10" x14ac:dyDescent="0.2">
      <c r="A603" s="390" t="s">
        <v>853</v>
      </c>
      <c r="B603" s="391"/>
      <c r="C603" s="391"/>
      <c r="D603" s="392"/>
      <c r="E603" s="393" t="s">
        <v>970</v>
      </c>
      <c r="F603" s="394"/>
      <c r="G603" s="394"/>
      <c r="H603" s="394"/>
      <c r="I603" s="394"/>
      <c r="J603" s="395"/>
    </row>
    <row r="604" spans="1:10" x14ac:dyDescent="0.2">
      <c r="A604" s="399" t="s">
        <v>852</v>
      </c>
      <c r="B604" s="400"/>
      <c r="C604" s="400"/>
      <c r="D604" s="401"/>
      <c r="E604" s="396"/>
      <c r="F604" s="397"/>
      <c r="G604" s="397"/>
      <c r="H604" s="397"/>
      <c r="I604" s="397"/>
      <c r="J604" s="398"/>
    </row>
    <row r="605" spans="1:10" x14ac:dyDescent="0.2">
      <c r="A605" s="431" t="s">
        <v>808</v>
      </c>
      <c r="B605" s="432"/>
      <c r="C605" s="432"/>
      <c r="D605" s="432"/>
      <c r="E605" s="405"/>
      <c r="F605" s="406"/>
      <c r="G605" s="406"/>
      <c r="H605" s="406"/>
      <c r="I605" s="406"/>
      <c r="J605" s="407"/>
    </row>
    <row r="606" spans="1:10" x14ac:dyDescent="0.2">
      <c r="A606" s="44"/>
      <c r="B606" s="45"/>
      <c r="C606" s="45"/>
      <c r="D606" s="45"/>
      <c r="E606" s="494" t="s">
        <v>535</v>
      </c>
      <c r="F606" s="379"/>
      <c r="G606" s="494" t="s">
        <v>533</v>
      </c>
      <c r="H606" s="379"/>
      <c r="I606" s="380" t="s">
        <v>848</v>
      </c>
      <c r="J606" s="381"/>
    </row>
    <row r="607" spans="1:10" x14ac:dyDescent="0.2">
      <c r="A607" s="440" t="s">
        <v>527</v>
      </c>
      <c r="B607" s="440"/>
      <c r="C607" s="440"/>
      <c r="D607" s="440"/>
      <c r="E607" s="385"/>
      <c r="F607" s="385"/>
      <c r="G607" s="385"/>
      <c r="H607" s="385"/>
      <c r="I607" s="386"/>
      <c r="J607" s="386"/>
    </row>
    <row r="608" spans="1:10" x14ac:dyDescent="0.2">
      <c r="A608" s="433" t="s">
        <v>528</v>
      </c>
      <c r="B608" s="433"/>
      <c r="C608" s="433"/>
      <c r="D608" s="433"/>
      <c r="E608" s="375">
        <v>801134</v>
      </c>
      <c r="F608" s="375"/>
      <c r="G608" s="376"/>
      <c r="H608" s="376"/>
      <c r="I608" s="377"/>
      <c r="J608" s="377"/>
    </row>
    <row r="609" spans="1:10" x14ac:dyDescent="0.2">
      <c r="A609" s="440" t="s">
        <v>529</v>
      </c>
      <c r="B609" s="440"/>
      <c r="C609" s="440"/>
      <c r="D609" s="440"/>
      <c r="E609" s="385">
        <v>13959</v>
      </c>
      <c r="F609" s="385"/>
      <c r="G609" s="385"/>
      <c r="H609" s="385"/>
      <c r="I609" s="386"/>
      <c r="J609" s="386"/>
    </row>
    <row r="610" spans="1:10" x14ac:dyDescent="0.2">
      <c r="A610" s="433" t="s">
        <v>530</v>
      </c>
      <c r="B610" s="433"/>
      <c r="C610" s="433"/>
      <c r="D610" s="433"/>
      <c r="E610" s="375">
        <v>58360</v>
      </c>
      <c r="F610" s="375"/>
      <c r="G610" s="376"/>
      <c r="H610" s="376"/>
      <c r="I610" s="377"/>
      <c r="J610" s="377"/>
    </row>
    <row r="611" spans="1:10" x14ac:dyDescent="0.2">
      <c r="A611" s="440" t="s">
        <v>531</v>
      </c>
      <c r="B611" s="440"/>
      <c r="C611" s="440"/>
      <c r="D611" s="440"/>
      <c r="E611" s="385"/>
      <c r="F611" s="385"/>
      <c r="G611" s="385"/>
      <c r="H611" s="385"/>
      <c r="I611" s="386"/>
      <c r="J611" s="386"/>
    </row>
    <row r="612" spans="1:10" x14ac:dyDescent="0.2">
      <c r="A612" s="433" t="s">
        <v>532</v>
      </c>
      <c r="B612" s="433"/>
      <c r="C612" s="433"/>
      <c r="D612" s="433"/>
      <c r="E612" s="375">
        <v>4002</v>
      </c>
      <c r="F612" s="375"/>
      <c r="G612" s="376"/>
      <c r="H612" s="376"/>
      <c r="I612" s="377"/>
      <c r="J612" s="377"/>
    </row>
    <row r="613" spans="1:10" x14ac:dyDescent="0.2">
      <c r="A613" s="440" t="s">
        <v>537</v>
      </c>
      <c r="B613" s="440"/>
      <c r="C613" s="440"/>
      <c r="D613" s="440"/>
      <c r="E613" s="418"/>
      <c r="F613" s="418"/>
      <c r="G613" s="418"/>
      <c r="H613" s="418"/>
      <c r="I613" s="419"/>
      <c r="J613" s="419"/>
    </row>
    <row r="614" spans="1:10" x14ac:dyDescent="0.2">
      <c r="A614" s="408" t="s">
        <v>963</v>
      </c>
      <c r="B614" s="409"/>
      <c r="C614" s="409"/>
      <c r="D614" s="410"/>
      <c r="E614" s="375">
        <v>10318</v>
      </c>
      <c r="F614" s="375"/>
      <c r="G614" s="376"/>
      <c r="H614" s="376"/>
      <c r="I614" s="376"/>
      <c r="J614" s="376"/>
    </row>
    <row r="615" spans="1:10" x14ac:dyDescent="0.2">
      <c r="A615" s="408" t="s">
        <v>964</v>
      </c>
      <c r="B615" s="409"/>
      <c r="C615" s="409"/>
      <c r="D615" s="410"/>
      <c r="E615" s="375">
        <v>6650</v>
      </c>
      <c r="F615" s="375"/>
      <c r="G615" s="376"/>
      <c r="H615" s="376"/>
      <c r="I615" s="376"/>
      <c r="J615" s="376"/>
    </row>
    <row r="616" spans="1:10" x14ac:dyDescent="0.2">
      <c r="A616" s="408"/>
      <c r="B616" s="409"/>
      <c r="C616" s="409"/>
      <c r="D616" s="410"/>
      <c r="E616" s="375"/>
      <c r="F616" s="375"/>
      <c r="G616" s="376"/>
      <c r="H616" s="376"/>
      <c r="I616" s="376"/>
      <c r="J616" s="376"/>
    </row>
    <row r="617" spans="1:10" x14ac:dyDescent="0.2">
      <c r="A617" s="455" t="s">
        <v>534</v>
      </c>
      <c r="B617" s="455"/>
      <c r="C617" s="455"/>
      <c r="D617" s="455"/>
      <c r="E617" s="414">
        <f>SUM(E607:E616)</f>
        <v>894423</v>
      </c>
      <c r="F617" s="414"/>
      <c r="G617" s="414">
        <f>SUM(G607:G616)</f>
        <v>0</v>
      </c>
      <c r="H617" s="414"/>
      <c r="I617" s="414">
        <f>SUM(I607:I616)</f>
        <v>0</v>
      </c>
      <c r="J617" s="414"/>
    </row>
    <row r="618" spans="1:10" x14ac:dyDescent="0.2">
      <c r="A618" s="415" t="s">
        <v>860</v>
      </c>
      <c r="B618" s="416"/>
      <c r="C618" s="416"/>
      <c r="D618" s="416"/>
      <c r="E618" s="416"/>
      <c r="F618" s="416"/>
      <c r="G618" s="416"/>
      <c r="H618" s="416"/>
      <c r="I618" s="416"/>
      <c r="J618" s="417"/>
    </row>
    <row r="619" spans="1:10" x14ac:dyDescent="0.2">
      <c r="A619" s="358" t="s">
        <v>861</v>
      </c>
      <c r="B619" s="359"/>
      <c r="C619" s="359"/>
      <c r="D619" s="359"/>
      <c r="E619" s="359"/>
      <c r="F619" s="359"/>
      <c r="G619" s="359"/>
      <c r="H619" s="359"/>
      <c r="I619" s="359"/>
      <c r="J619" s="360"/>
    </row>
    <row r="620" spans="1:10" x14ac:dyDescent="0.2">
      <c r="A620" s="358" t="s">
        <v>862</v>
      </c>
      <c r="B620" s="359"/>
      <c r="C620" s="359"/>
      <c r="D620" s="359"/>
      <c r="E620" s="359"/>
      <c r="F620" s="359"/>
      <c r="G620" s="359"/>
      <c r="H620" s="359"/>
      <c r="I620" s="359"/>
      <c r="J620" s="360"/>
    </row>
    <row r="621" spans="1:10" x14ac:dyDescent="0.2">
      <c r="A621" s="361" t="s">
        <v>863</v>
      </c>
      <c r="B621" s="362"/>
      <c r="C621" s="362"/>
      <c r="D621" s="362"/>
      <c r="E621" s="362"/>
      <c r="F621" s="362"/>
      <c r="G621" s="362"/>
      <c r="H621" s="362"/>
      <c r="I621" s="362"/>
      <c r="J621" s="363"/>
    </row>
    <row r="622" spans="1:10" ht="12.6" customHeight="1" x14ac:dyDescent="0.2">
      <c r="A622" s="446" t="s">
        <v>998</v>
      </c>
      <c r="B622" s="447"/>
      <c r="C622" s="447"/>
      <c r="D622" s="447"/>
      <c r="E622" s="447"/>
      <c r="F622" s="447"/>
      <c r="G622" s="447"/>
      <c r="H622" s="447"/>
      <c r="I622" s="447"/>
      <c r="J622" s="448"/>
    </row>
    <row r="623" spans="1:10" x14ac:dyDescent="0.2">
      <c r="A623" s="449"/>
      <c r="B623" s="450"/>
      <c r="C623" s="450"/>
      <c r="D623" s="450"/>
      <c r="E623" s="450"/>
      <c r="F623" s="450"/>
      <c r="G623" s="450"/>
      <c r="H623" s="450"/>
      <c r="I623" s="450"/>
      <c r="J623" s="451"/>
    </row>
    <row r="624" spans="1:10" x14ac:dyDescent="0.2">
      <c r="A624" s="449"/>
      <c r="B624" s="450"/>
      <c r="C624" s="450"/>
      <c r="D624" s="450"/>
      <c r="E624" s="450"/>
      <c r="F624" s="450"/>
      <c r="G624" s="450"/>
      <c r="H624" s="450"/>
      <c r="I624" s="450"/>
      <c r="J624" s="451"/>
    </row>
    <row r="625" spans="1:10" x14ac:dyDescent="0.2">
      <c r="A625" s="449"/>
      <c r="B625" s="450"/>
      <c r="C625" s="450"/>
      <c r="D625" s="450"/>
      <c r="E625" s="450"/>
      <c r="F625" s="450"/>
      <c r="G625" s="450"/>
      <c r="H625" s="450"/>
      <c r="I625" s="450"/>
      <c r="J625" s="451"/>
    </row>
    <row r="626" spans="1:10" x14ac:dyDescent="0.2">
      <c r="A626" s="449"/>
      <c r="B626" s="450"/>
      <c r="C626" s="450"/>
      <c r="D626" s="450"/>
      <c r="E626" s="450"/>
      <c r="F626" s="450"/>
      <c r="G626" s="450"/>
      <c r="H626" s="450"/>
      <c r="I626" s="450"/>
      <c r="J626" s="451"/>
    </row>
    <row r="627" spans="1:10" x14ac:dyDescent="0.2">
      <c r="A627" s="449"/>
      <c r="B627" s="450"/>
      <c r="C627" s="450"/>
      <c r="D627" s="450"/>
      <c r="E627" s="450"/>
      <c r="F627" s="450"/>
      <c r="G627" s="450"/>
      <c r="H627" s="450"/>
      <c r="I627" s="450"/>
      <c r="J627" s="451"/>
    </row>
    <row r="628" spans="1:10" x14ac:dyDescent="0.2">
      <c r="A628" s="449"/>
      <c r="B628" s="450"/>
      <c r="C628" s="450"/>
      <c r="D628" s="450"/>
      <c r="E628" s="450"/>
      <c r="F628" s="450"/>
      <c r="G628" s="450"/>
      <c r="H628" s="450"/>
      <c r="I628" s="450"/>
      <c r="J628" s="451"/>
    </row>
    <row r="629" spans="1:10" x14ac:dyDescent="0.2">
      <c r="A629" s="449"/>
      <c r="B629" s="450"/>
      <c r="C629" s="450"/>
      <c r="D629" s="450"/>
      <c r="E629" s="450"/>
      <c r="F629" s="450"/>
      <c r="G629" s="450"/>
      <c r="H629" s="450"/>
      <c r="I629" s="450"/>
      <c r="J629" s="451"/>
    </row>
    <row r="630" spans="1:10" x14ac:dyDescent="0.2">
      <c r="A630" s="449"/>
      <c r="B630" s="450"/>
      <c r="C630" s="450"/>
      <c r="D630" s="450"/>
      <c r="E630" s="450"/>
      <c r="F630" s="450"/>
      <c r="G630" s="450"/>
      <c r="H630" s="450"/>
      <c r="I630" s="450"/>
      <c r="J630" s="451"/>
    </row>
    <row r="631" spans="1:10" x14ac:dyDescent="0.2">
      <c r="A631" s="449"/>
      <c r="B631" s="450"/>
      <c r="C631" s="450"/>
      <c r="D631" s="450"/>
      <c r="E631" s="450"/>
      <c r="F631" s="450"/>
      <c r="G631" s="450"/>
      <c r="H631" s="450"/>
      <c r="I631" s="450"/>
      <c r="J631" s="451"/>
    </row>
    <row r="632" spans="1:10" x14ac:dyDescent="0.2">
      <c r="A632" s="449"/>
      <c r="B632" s="450"/>
      <c r="C632" s="450"/>
      <c r="D632" s="450"/>
      <c r="E632" s="450"/>
      <c r="F632" s="450"/>
      <c r="G632" s="450"/>
      <c r="H632" s="450"/>
      <c r="I632" s="450"/>
      <c r="J632" s="451"/>
    </row>
    <row r="633" spans="1:10" x14ac:dyDescent="0.2">
      <c r="A633" s="449"/>
      <c r="B633" s="450"/>
      <c r="C633" s="450"/>
      <c r="D633" s="450"/>
      <c r="E633" s="450"/>
      <c r="F633" s="450"/>
      <c r="G633" s="450"/>
      <c r="H633" s="450"/>
      <c r="I633" s="450"/>
      <c r="J633" s="451"/>
    </row>
    <row r="634" spans="1:10" x14ac:dyDescent="0.2">
      <c r="A634" s="449"/>
      <c r="B634" s="450"/>
      <c r="C634" s="450"/>
      <c r="D634" s="450"/>
      <c r="E634" s="450"/>
      <c r="F634" s="450"/>
      <c r="G634" s="450"/>
      <c r="H634" s="450"/>
      <c r="I634" s="450"/>
      <c r="J634" s="451"/>
    </row>
    <row r="635" spans="1:10" x14ac:dyDescent="0.2">
      <c r="A635" s="449"/>
      <c r="B635" s="450"/>
      <c r="C635" s="450"/>
      <c r="D635" s="450"/>
      <c r="E635" s="450"/>
      <c r="F635" s="450"/>
      <c r="G635" s="450"/>
      <c r="H635" s="450"/>
      <c r="I635" s="450"/>
      <c r="J635" s="451"/>
    </row>
    <row r="636" spans="1:10" x14ac:dyDescent="0.2">
      <c r="A636" s="449"/>
      <c r="B636" s="450"/>
      <c r="C636" s="450"/>
      <c r="D636" s="450"/>
      <c r="E636" s="450"/>
      <c r="F636" s="450"/>
      <c r="G636" s="450"/>
      <c r="H636" s="450"/>
      <c r="I636" s="450"/>
      <c r="J636" s="451"/>
    </row>
    <row r="637" spans="1:10" x14ac:dyDescent="0.2">
      <c r="A637" s="449"/>
      <c r="B637" s="450"/>
      <c r="C637" s="450"/>
      <c r="D637" s="450"/>
      <c r="E637" s="450"/>
      <c r="F637" s="450"/>
      <c r="G637" s="450"/>
      <c r="H637" s="450"/>
      <c r="I637" s="450"/>
      <c r="J637" s="451"/>
    </row>
    <row r="638" spans="1:10" x14ac:dyDescent="0.2">
      <c r="A638" s="449"/>
      <c r="B638" s="450"/>
      <c r="C638" s="450"/>
      <c r="D638" s="450"/>
      <c r="E638" s="450"/>
      <c r="F638" s="450"/>
      <c r="G638" s="450"/>
      <c r="H638" s="450"/>
      <c r="I638" s="450"/>
      <c r="J638" s="451"/>
    </row>
    <row r="639" spans="1:10" x14ac:dyDescent="0.2">
      <c r="A639" s="449"/>
      <c r="B639" s="450"/>
      <c r="C639" s="450"/>
      <c r="D639" s="450"/>
      <c r="E639" s="450"/>
      <c r="F639" s="450"/>
      <c r="G639" s="450"/>
      <c r="H639" s="450"/>
      <c r="I639" s="450"/>
      <c r="J639" s="451"/>
    </row>
    <row r="640" spans="1:10" x14ac:dyDescent="0.2">
      <c r="A640" s="449"/>
      <c r="B640" s="450"/>
      <c r="C640" s="450"/>
      <c r="D640" s="450"/>
      <c r="E640" s="450"/>
      <c r="F640" s="450"/>
      <c r="G640" s="450"/>
      <c r="H640" s="450"/>
      <c r="I640" s="450"/>
      <c r="J640" s="451"/>
    </row>
    <row r="641" spans="1:10" x14ac:dyDescent="0.2">
      <c r="A641" s="449"/>
      <c r="B641" s="450"/>
      <c r="C641" s="450"/>
      <c r="D641" s="450"/>
      <c r="E641" s="450"/>
      <c r="F641" s="450"/>
      <c r="G641" s="450"/>
      <c r="H641" s="450"/>
      <c r="I641" s="450"/>
      <c r="J641" s="451"/>
    </row>
    <row r="642" spans="1:10" x14ac:dyDescent="0.2">
      <c r="A642" s="449"/>
      <c r="B642" s="450"/>
      <c r="C642" s="450"/>
      <c r="D642" s="450"/>
      <c r="E642" s="450"/>
      <c r="F642" s="450"/>
      <c r="G642" s="450"/>
      <c r="H642" s="450"/>
      <c r="I642" s="450"/>
      <c r="J642" s="451"/>
    </row>
    <row r="643" spans="1:10" x14ac:dyDescent="0.2">
      <c r="A643" s="449"/>
      <c r="B643" s="450"/>
      <c r="C643" s="450"/>
      <c r="D643" s="450"/>
      <c r="E643" s="450"/>
      <c r="F643" s="450"/>
      <c r="G643" s="450"/>
      <c r="H643" s="450"/>
      <c r="I643" s="450"/>
      <c r="J643" s="451"/>
    </row>
    <row r="644" spans="1:10" x14ac:dyDescent="0.2">
      <c r="A644" s="449"/>
      <c r="B644" s="450"/>
      <c r="C644" s="450"/>
      <c r="D644" s="450"/>
      <c r="E644" s="450"/>
      <c r="F644" s="450"/>
      <c r="G644" s="450"/>
      <c r="H644" s="450"/>
      <c r="I644" s="450"/>
      <c r="J644" s="451"/>
    </row>
    <row r="645" spans="1:10" x14ac:dyDescent="0.2">
      <c r="A645" s="449"/>
      <c r="B645" s="450"/>
      <c r="C645" s="450"/>
      <c r="D645" s="450"/>
      <c r="E645" s="450"/>
      <c r="F645" s="450"/>
      <c r="G645" s="450"/>
      <c r="H645" s="450"/>
      <c r="I645" s="450"/>
      <c r="J645" s="451"/>
    </row>
    <row r="646" spans="1:10" x14ac:dyDescent="0.2">
      <c r="A646" s="449"/>
      <c r="B646" s="450"/>
      <c r="C646" s="450"/>
      <c r="D646" s="450"/>
      <c r="E646" s="450"/>
      <c r="F646" s="450"/>
      <c r="G646" s="450"/>
      <c r="H646" s="450"/>
      <c r="I646" s="450"/>
      <c r="J646" s="451"/>
    </row>
    <row r="647" spans="1:10" x14ac:dyDescent="0.2">
      <c r="A647" s="449"/>
      <c r="B647" s="450"/>
      <c r="C647" s="450"/>
      <c r="D647" s="450"/>
      <c r="E647" s="450"/>
      <c r="F647" s="450"/>
      <c r="G647" s="450"/>
      <c r="H647" s="450"/>
      <c r="I647" s="450"/>
      <c r="J647" s="451"/>
    </row>
    <row r="648" spans="1:10" x14ac:dyDescent="0.2">
      <c r="A648" s="449"/>
      <c r="B648" s="450"/>
      <c r="C648" s="450"/>
      <c r="D648" s="450"/>
      <c r="E648" s="450"/>
      <c r="F648" s="450"/>
      <c r="G648" s="450"/>
      <c r="H648" s="450"/>
      <c r="I648" s="450"/>
      <c r="J648" s="451"/>
    </row>
    <row r="649" spans="1:10" x14ac:dyDescent="0.2">
      <c r="A649" s="449"/>
      <c r="B649" s="450"/>
      <c r="C649" s="450"/>
      <c r="D649" s="450"/>
      <c r="E649" s="450"/>
      <c r="F649" s="450"/>
      <c r="G649" s="450"/>
      <c r="H649" s="450"/>
      <c r="I649" s="450"/>
      <c r="J649" s="451"/>
    </row>
    <row r="650" spans="1:10" x14ac:dyDescent="0.2">
      <c r="A650" s="449"/>
      <c r="B650" s="450"/>
      <c r="C650" s="450"/>
      <c r="D650" s="450"/>
      <c r="E650" s="450"/>
      <c r="F650" s="450"/>
      <c r="G650" s="450"/>
      <c r="H650" s="450"/>
      <c r="I650" s="450"/>
      <c r="J650" s="451"/>
    </row>
    <row r="651" spans="1:10" x14ac:dyDescent="0.2">
      <c r="A651" s="449"/>
      <c r="B651" s="450"/>
      <c r="C651" s="450"/>
      <c r="D651" s="450"/>
      <c r="E651" s="450"/>
      <c r="F651" s="450"/>
      <c r="G651" s="450"/>
      <c r="H651" s="450"/>
      <c r="I651" s="450"/>
      <c r="J651" s="451"/>
    </row>
    <row r="652" spans="1:10" x14ac:dyDescent="0.2">
      <c r="A652" s="452"/>
      <c r="B652" s="453"/>
      <c r="C652" s="453"/>
      <c r="D652" s="453"/>
      <c r="E652" s="453"/>
      <c r="F652" s="453"/>
      <c r="G652" s="453"/>
      <c r="H652" s="453"/>
      <c r="I652" s="453"/>
      <c r="J652" s="454"/>
    </row>
    <row r="653" spans="1:10" x14ac:dyDescent="0.2">
      <c r="A653" s="143"/>
      <c r="B653" s="143"/>
      <c r="C653" s="143"/>
      <c r="D653" s="143"/>
      <c r="E653" s="143"/>
      <c r="F653" s="143"/>
      <c r="G653" s="143"/>
      <c r="H653" s="143"/>
      <c r="I653" s="143"/>
      <c r="J653" s="143"/>
    </row>
    <row r="654" spans="1:10" ht="15.75" x14ac:dyDescent="0.25">
      <c r="A654" s="280" t="s">
        <v>847</v>
      </c>
      <c r="B654" s="281"/>
      <c r="C654" s="281"/>
      <c r="D654" s="281"/>
      <c r="E654" s="281"/>
      <c r="F654" s="281"/>
      <c r="G654" s="281"/>
      <c r="H654" s="278" t="str">
        <f>'CONTACT INFORMATION'!$A$24</f>
        <v>Los Angeles</v>
      </c>
      <c r="I654" s="278"/>
      <c r="J654" s="279"/>
    </row>
    <row r="655" spans="1:10" ht="15.75" x14ac:dyDescent="0.25">
      <c r="A655" s="43"/>
      <c r="B655" s="43"/>
      <c r="C655" s="43"/>
      <c r="D655" s="43"/>
      <c r="E655" s="43"/>
      <c r="F655" s="43"/>
      <c r="G655" s="43"/>
      <c r="H655" s="43"/>
      <c r="I655" s="43"/>
      <c r="J655" s="43"/>
    </row>
    <row r="656" spans="1:10" ht="15" x14ac:dyDescent="0.25">
      <c r="A656" s="387" t="s">
        <v>908</v>
      </c>
      <c r="B656" s="388"/>
      <c r="C656" s="388"/>
      <c r="D656" s="388"/>
      <c r="E656" s="388"/>
      <c r="F656" s="388"/>
      <c r="G656" s="388"/>
      <c r="H656" s="388"/>
      <c r="I656" s="388"/>
      <c r="J656" s="389"/>
    </row>
    <row r="657" spans="1:10" x14ac:dyDescent="0.2">
      <c r="A657" s="390" t="s">
        <v>853</v>
      </c>
      <c r="B657" s="391"/>
      <c r="C657" s="391"/>
      <c r="D657" s="392"/>
      <c r="E657" s="393" t="s">
        <v>968</v>
      </c>
      <c r="F657" s="394"/>
      <c r="G657" s="394"/>
      <c r="H657" s="394"/>
      <c r="I657" s="394"/>
      <c r="J657" s="395"/>
    </row>
    <row r="658" spans="1:10" x14ac:dyDescent="0.2">
      <c r="A658" s="399" t="s">
        <v>852</v>
      </c>
      <c r="B658" s="400"/>
      <c r="C658" s="400"/>
      <c r="D658" s="401"/>
      <c r="E658" s="396"/>
      <c r="F658" s="397"/>
      <c r="G658" s="397"/>
      <c r="H658" s="397"/>
      <c r="I658" s="397"/>
      <c r="J658" s="398"/>
    </row>
    <row r="659" spans="1:10" x14ac:dyDescent="0.2">
      <c r="A659" s="431" t="s">
        <v>808</v>
      </c>
      <c r="B659" s="432"/>
      <c r="C659" s="432"/>
      <c r="D659" s="432"/>
      <c r="E659" s="405"/>
      <c r="F659" s="406"/>
      <c r="G659" s="406"/>
      <c r="H659" s="406"/>
      <c r="I659" s="406"/>
      <c r="J659" s="407"/>
    </row>
    <row r="660" spans="1:10" x14ac:dyDescent="0.2">
      <c r="A660" s="44"/>
      <c r="B660" s="45"/>
      <c r="C660" s="45"/>
      <c r="D660" s="45"/>
      <c r="E660" s="494" t="s">
        <v>535</v>
      </c>
      <c r="F660" s="379"/>
      <c r="G660" s="494" t="s">
        <v>533</v>
      </c>
      <c r="H660" s="379"/>
      <c r="I660" s="380" t="s">
        <v>848</v>
      </c>
      <c r="J660" s="381"/>
    </row>
    <row r="661" spans="1:10" x14ac:dyDescent="0.2">
      <c r="A661" s="440" t="s">
        <v>527</v>
      </c>
      <c r="B661" s="440"/>
      <c r="C661" s="440"/>
      <c r="D661" s="440"/>
      <c r="E661" s="385"/>
      <c r="F661" s="385"/>
      <c r="G661" s="385"/>
      <c r="H661" s="385"/>
      <c r="I661" s="386"/>
      <c r="J661" s="386"/>
    </row>
    <row r="662" spans="1:10" x14ac:dyDescent="0.2">
      <c r="A662" s="433" t="s">
        <v>528</v>
      </c>
      <c r="B662" s="433"/>
      <c r="C662" s="433"/>
      <c r="D662" s="433"/>
      <c r="E662" s="375"/>
      <c r="F662" s="375"/>
      <c r="G662" s="376"/>
      <c r="H662" s="376"/>
      <c r="I662" s="377"/>
      <c r="J662" s="377"/>
    </row>
    <row r="663" spans="1:10" x14ac:dyDescent="0.2">
      <c r="A663" s="440" t="s">
        <v>529</v>
      </c>
      <c r="B663" s="440"/>
      <c r="C663" s="440"/>
      <c r="D663" s="440"/>
      <c r="E663" s="385">
        <v>1353</v>
      </c>
      <c r="F663" s="385"/>
      <c r="G663" s="385"/>
      <c r="H663" s="385"/>
      <c r="I663" s="386"/>
      <c r="J663" s="386"/>
    </row>
    <row r="664" spans="1:10" x14ac:dyDescent="0.2">
      <c r="A664" s="433" t="s">
        <v>530</v>
      </c>
      <c r="B664" s="433"/>
      <c r="C664" s="433"/>
      <c r="D664" s="433"/>
      <c r="E664" s="375">
        <v>83332</v>
      </c>
      <c r="F664" s="375"/>
      <c r="G664" s="376"/>
      <c r="H664" s="376"/>
      <c r="I664" s="377"/>
      <c r="J664" s="377"/>
    </row>
    <row r="665" spans="1:10" x14ac:dyDescent="0.2">
      <c r="A665" s="440" t="s">
        <v>531</v>
      </c>
      <c r="B665" s="440"/>
      <c r="C665" s="440"/>
      <c r="D665" s="440"/>
      <c r="E665" s="385"/>
      <c r="F665" s="385"/>
      <c r="G665" s="385"/>
      <c r="H665" s="385"/>
      <c r="I665" s="386"/>
      <c r="J665" s="386"/>
    </row>
    <row r="666" spans="1:10" x14ac:dyDescent="0.2">
      <c r="A666" s="433" t="s">
        <v>532</v>
      </c>
      <c r="B666" s="433"/>
      <c r="C666" s="433"/>
      <c r="D666" s="433"/>
      <c r="E666" s="375">
        <v>388</v>
      </c>
      <c r="F666" s="375"/>
      <c r="G666" s="376"/>
      <c r="H666" s="376"/>
      <c r="I666" s="377"/>
      <c r="J666" s="377"/>
    </row>
    <row r="667" spans="1:10" x14ac:dyDescent="0.2">
      <c r="A667" s="440" t="s">
        <v>537</v>
      </c>
      <c r="B667" s="440"/>
      <c r="C667" s="440"/>
      <c r="D667" s="440"/>
      <c r="E667" s="418"/>
      <c r="F667" s="418"/>
      <c r="G667" s="418"/>
      <c r="H667" s="418"/>
      <c r="I667" s="419"/>
      <c r="J667" s="419"/>
    </row>
    <row r="668" spans="1:10" x14ac:dyDescent="0.2">
      <c r="A668" s="408" t="s">
        <v>963</v>
      </c>
      <c r="B668" s="409"/>
      <c r="C668" s="409"/>
      <c r="D668" s="410"/>
      <c r="E668" s="375">
        <v>1000</v>
      </c>
      <c r="F668" s="375"/>
      <c r="G668" s="376"/>
      <c r="H668" s="376"/>
      <c r="I668" s="376"/>
      <c r="J668" s="376"/>
    </row>
    <row r="669" spans="1:10" x14ac:dyDescent="0.2">
      <c r="A669" s="408" t="s">
        <v>964</v>
      </c>
      <c r="B669" s="409"/>
      <c r="C669" s="409"/>
      <c r="D669" s="410"/>
      <c r="E669" s="375">
        <v>645</v>
      </c>
      <c r="F669" s="375"/>
      <c r="G669" s="376"/>
      <c r="H669" s="376"/>
      <c r="I669" s="376"/>
      <c r="J669" s="376"/>
    </row>
    <row r="670" spans="1:10" x14ac:dyDescent="0.2">
      <c r="A670" s="408"/>
      <c r="B670" s="409"/>
      <c r="C670" s="409"/>
      <c r="D670" s="410"/>
      <c r="E670" s="375"/>
      <c r="F670" s="375"/>
      <c r="G670" s="376"/>
      <c r="H670" s="376"/>
      <c r="I670" s="376"/>
      <c r="J670" s="376"/>
    </row>
    <row r="671" spans="1:10" x14ac:dyDescent="0.2">
      <c r="A671" s="455" t="s">
        <v>534</v>
      </c>
      <c r="B671" s="455"/>
      <c r="C671" s="455"/>
      <c r="D671" s="455"/>
      <c r="E671" s="414">
        <f>SUM(E661:E670)</f>
        <v>86718</v>
      </c>
      <c r="F671" s="414"/>
      <c r="G671" s="414">
        <f>SUM(G661:G670)</f>
        <v>0</v>
      </c>
      <c r="H671" s="414"/>
      <c r="I671" s="414">
        <f>SUM(I661:I670)</f>
        <v>0</v>
      </c>
      <c r="J671" s="414"/>
    </row>
    <row r="672" spans="1:10" x14ac:dyDescent="0.2">
      <c r="A672" s="415" t="s">
        <v>860</v>
      </c>
      <c r="B672" s="416"/>
      <c r="C672" s="416"/>
      <c r="D672" s="416"/>
      <c r="E672" s="416"/>
      <c r="F672" s="416"/>
      <c r="G672" s="416"/>
      <c r="H672" s="416"/>
      <c r="I672" s="416"/>
      <c r="J672" s="417"/>
    </row>
    <row r="673" spans="1:10" x14ac:dyDescent="0.2">
      <c r="A673" s="358" t="s">
        <v>861</v>
      </c>
      <c r="B673" s="359"/>
      <c r="C673" s="359"/>
      <c r="D673" s="359"/>
      <c r="E673" s="359"/>
      <c r="F673" s="359"/>
      <c r="G673" s="359"/>
      <c r="H673" s="359"/>
      <c r="I673" s="359"/>
      <c r="J673" s="360"/>
    </row>
    <row r="674" spans="1:10" x14ac:dyDescent="0.2">
      <c r="A674" s="358" t="s">
        <v>862</v>
      </c>
      <c r="B674" s="359"/>
      <c r="C674" s="359"/>
      <c r="D674" s="359"/>
      <c r="E674" s="359"/>
      <c r="F674" s="359"/>
      <c r="G674" s="359"/>
      <c r="H674" s="359"/>
      <c r="I674" s="359"/>
      <c r="J674" s="360"/>
    </row>
    <row r="675" spans="1:10" x14ac:dyDescent="0.2">
      <c r="A675" s="361" t="s">
        <v>863</v>
      </c>
      <c r="B675" s="362"/>
      <c r="C675" s="362"/>
      <c r="D675" s="362"/>
      <c r="E675" s="362"/>
      <c r="F675" s="362"/>
      <c r="G675" s="362"/>
      <c r="H675" s="362"/>
      <c r="I675" s="362"/>
      <c r="J675" s="363"/>
    </row>
    <row r="676" spans="1:10" x14ac:dyDescent="0.2">
      <c r="A676" s="446" t="s">
        <v>990</v>
      </c>
      <c r="B676" s="447"/>
      <c r="C676" s="447"/>
      <c r="D676" s="447"/>
      <c r="E676" s="447"/>
      <c r="F676" s="447"/>
      <c r="G676" s="447"/>
      <c r="H676" s="447"/>
      <c r="I676" s="447"/>
      <c r="J676" s="448"/>
    </row>
    <row r="677" spans="1:10" x14ac:dyDescent="0.2">
      <c r="A677" s="449"/>
      <c r="B677" s="450"/>
      <c r="C677" s="450"/>
      <c r="D677" s="450"/>
      <c r="E677" s="450"/>
      <c r="F677" s="450"/>
      <c r="G677" s="450"/>
      <c r="H677" s="450"/>
      <c r="I677" s="450"/>
      <c r="J677" s="451"/>
    </row>
    <row r="678" spans="1:10" x14ac:dyDescent="0.2">
      <c r="A678" s="449"/>
      <c r="B678" s="450"/>
      <c r="C678" s="450"/>
      <c r="D678" s="450"/>
      <c r="E678" s="450"/>
      <c r="F678" s="450"/>
      <c r="G678" s="450"/>
      <c r="H678" s="450"/>
      <c r="I678" s="450"/>
      <c r="J678" s="451"/>
    </row>
    <row r="679" spans="1:10" x14ac:dyDescent="0.2">
      <c r="A679" s="449"/>
      <c r="B679" s="450"/>
      <c r="C679" s="450"/>
      <c r="D679" s="450"/>
      <c r="E679" s="450"/>
      <c r="F679" s="450"/>
      <c r="G679" s="450"/>
      <c r="H679" s="450"/>
      <c r="I679" s="450"/>
      <c r="J679" s="451"/>
    </row>
    <row r="680" spans="1:10" x14ac:dyDescent="0.2">
      <c r="A680" s="449"/>
      <c r="B680" s="450"/>
      <c r="C680" s="450"/>
      <c r="D680" s="450"/>
      <c r="E680" s="450"/>
      <c r="F680" s="450"/>
      <c r="G680" s="450"/>
      <c r="H680" s="450"/>
      <c r="I680" s="450"/>
      <c r="J680" s="451"/>
    </row>
    <row r="681" spans="1:10" x14ac:dyDescent="0.2">
      <c r="A681" s="449"/>
      <c r="B681" s="450"/>
      <c r="C681" s="450"/>
      <c r="D681" s="450"/>
      <c r="E681" s="450"/>
      <c r="F681" s="450"/>
      <c r="G681" s="450"/>
      <c r="H681" s="450"/>
      <c r="I681" s="450"/>
      <c r="J681" s="451"/>
    </row>
    <row r="682" spans="1:10" x14ac:dyDescent="0.2">
      <c r="A682" s="449"/>
      <c r="B682" s="450"/>
      <c r="C682" s="450"/>
      <c r="D682" s="450"/>
      <c r="E682" s="450"/>
      <c r="F682" s="450"/>
      <c r="G682" s="450"/>
      <c r="H682" s="450"/>
      <c r="I682" s="450"/>
      <c r="J682" s="451"/>
    </row>
    <row r="683" spans="1:10" x14ac:dyDescent="0.2">
      <c r="A683" s="449"/>
      <c r="B683" s="450"/>
      <c r="C683" s="450"/>
      <c r="D683" s="450"/>
      <c r="E683" s="450"/>
      <c r="F683" s="450"/>
      <c r="G683" s="450"/>
      <c r="H683" s="450"/>
      <c r="I683" s="450"/>
      <c r="J683" s="451"/>
    </row>
    <row r="684" spans="1:10" x14ac:dyDescent="0.2">
      <c r="A684" s="449"/>
      <c r="B684" s="450"/>
      <c r="C684" s="450"/>
      <c r="D684" s="450"/>
      <c r="E684" s="450"/>
      <c r="F684" s="450"/>
      <c r="G684" s="450"/>
      <c r="H684" s="450"/>
      <c r="I684" s="450"/>
      <c r="J684" s="451"/>
    </row>
    <row r="685" spans="1:10" x14ac:dyDescent="0.2">
      <c r="A685" s="449"/>
      <c r="B685" s="450"/>
      <c r="C685" s="450"/>
      <c r="D685" s="450"/>
      <c r="E685" s="450"/>
      <c r="F685" s="450"/>
      <c r="G685" s="450"/>
      <c r="H685" s="450"/>
      <c r="I685" s="450"/>
      <c r="J685" s="451"/>
    </row>
    <row r="686" spans="1:10" x14ac:dyDescent="0.2">
      <c r="A686" s="449"/>
      <c r="B686" s="450"/>
      <c r="C686" s="450"/>
      <c r="D686" s="450"/>
      <c r="E686" s="450"/>
      <c r="F686" s="450"/>
      <c r="G686" s="450"/>
      <c r="H686" s="450"/>
      <c r="I686" s="450"/>
      <c r="J686" s="451"/>
    </row>
    <row r="687" spans="1:10" x14ac:dyDescent="0.2">
      <c r="A687" s="449"/>
      <c r="B687" s="450"/>
      <c r="C687" s="450"/>
      <c r="D687" s="450"/>
      <c r="E687" s="450"/>
      <c r="F687" s="450"/>
      <c r="G687" s="450"/>
      <c r="H687" s="450"/>
      <c r="I687" s="450"/>
      <c r="J687" s="451"/>
    </row>
    <row r="688" spans="1:10" x14ac:dyDescent="0.2">
      <c r="A688" s="449"/>
      <c r="B688" s="450"/>
      <c r="C688" s="450"/>
      <c r="D688" s="450"/>
      <c r="E688" s="450"/>
      <c r="F688" s="450"/>
      <c r="G688" s="450"/>
      <c r="H688" s="450"/>
      <c r="I688" s="450"/>
      <c r="J688" s="451"/>
    </row>
    <row r="689" spans="1:10" x14ac:dyDescent="0.2">
      <c r="A689" s="449"/>
      <c r="B689" s="450"/>
      <c r="C689" s="450"/>
      <c r="D689" s="450"/>
      <c r="E689" s="450"/>
      <c r="F689" s="450"/>
      <c r="G689" s="450"/>
      <c r="H689" s="450"/>
      <c r="I689" s="450"/>
      <c r="J689" s="451"/>
    </row>
    <row r="690" spans="1:10" x14ac:dyDescent="0.2">
      <c r="A690" s="449"/>
      <c r="B690" s="450"/>
      <c r="C690" s="450"/>
      <c r="D690" s="450"/>
      <c r="E690" s="450"/>
      <c r="F690" s="450"/>
      <c r="G690" s="450"/>
      <c r="H690" s="450"/>
      <c r="I690" s="450"/>
      <c r="J690" s="451"/>
    </row>
    <row r="691" spans="1:10" x14ac:dyDescent="0.2">
      <c r="A691" s="449"/>
      <c r="B691" s="450"/>
      <c r="C691" s="450"/>
      <c r="D691" s="450"/>
      <c r="E691" s="450"/>
      <c r="F691" s="450"/>
      <c r="G691" s="450"/>
      <c r="H691" s="450"/>
      <c r="I691" s="450"/>
      <c r="J691" s="451"/>
    </row>
    <row r="692" spans="1:10" x14ac:dyDescent="0.2">
      <c r="A692" s="449"/>
      <c r="B692" s="450"/>
      <c r="C692" s="450"/>
      <c r="D692" s="450"/>
      <c r="E692" s="450"/>
      <c r="F692" s="450"/>
      <c r="G692" s="450"/>
      <c r="H692" s="450"/>
      <c r="I692" s="450"/>
      <c r="J692" s="451"/>
    </row>
    <row r="693" spans="1:10" x14ac:dyDescent="0.2">
      <c r="A693" s="449"/>
      <c r="B693" s="450"/>
      <c r="C693" s="450"/>
      <c r="D693" s="450"/>
      <c r="E693" s="450"/>
      <c r="F693" s="450"/>
      <c r="G693" s="450"/>
      <c r="H693" s="450"/>
      <c r="I693" s="450"/>
      <c r="J693" s="451"/>
    </row>
    <row r="694" spans="1:10" x14ac:dyDescent="0.2">
      <c r="A694" s="449"/>
      <c r="B694" s="450"/>
      <c r="C694" s="450"/>
      <c r="D694" s="450"/>
      <c r="E694" s="450"/>
      <c r="F694" s="450"/>
      <c r="G694" s="450"/>
      <c r="H694" s="450"/>
      <c r="I694" s="450"/>
      <c r="J694" s="451"/>
    </row>
    <row r="695" spans="1:10" x14ac:dyDescent="0.2">
      <c r="A695" s="449"/>
      <c r="B695" s="450"/>
      <c r="C695" s="450"/>
      <c r="D695" s="450"/>
      <c r="E695" s="450"/>
      <c r="F695" s="450"/>
      <c r="G695" s="450"/>
      <c r="H695" s="450"/>
      <c r="I695" s="450"/>
      <c r="J695" s="451"/>
    </row>
    <row r="696" spans="1:10" x14ac:dyDescent="0.2">
      <c r="A696" s="449"/>
      <c r="B696" s="450"/>
      <c r="C696" s="450"/>
      <c r="D696" s="450"/>
      <c r="E696" s="450"/>
      <c r="F696" s="450"/>
      <c r="G696" s="450"/>
      <c r="H696" s="450"/>
      <c r="I696" s="450"/>
      <c r="J696" s="451"/>
    </row>
    <row r="697" spans="1:10" x14ac:dyDescent="0.2">
      <c r="A697" s="449"/>
      <c r="B697" s="450"/>
      <c r="C697" s="450"/>
      <c r="D697" s="450"/>
      <c r="E697" s="450"/>
      <c r="F697" s="450"/>
      <c r="G697" s="450"/>
      <c r="H697" s="450"/>
      <c r="I697" s="450"/>
      <c r="J697" s="451"/>
    </row>
    <row r="698" spans="1:10" x14ac:dyDescent="0.2">
      <c r="A698" s="449"/>
      <c r="B698" s="450"/>
      <c r="C698" s="450"/>
      <c r="D698" s="450"/>
      <c r="E698" s="450"/>
      <c r="F698" s="450"/>
      <c r="G698" s="450"/>
      <c r="H698" s="450"/>
      <c r="I698" s="450"/>
      <c r="J698" s="451"/>
    </row>
    <row r="699" spans="1:10" x14ac:dyDescent="0.2">
      <c r="A699" s="449"/>
      <c r="B699" s="450"/>
      <c r="C699" s="450"/>
      <c r="D699" s="450"/>
      <c r="E699" s="450"/>
      <c r="F699" s="450"/>
      <c r="G699" s="450"/>
      <c r="H699" s="450"/>
      <c r="I699" s="450"/>
      <c r="J699" s="451"/>
    </row>
    <row r="700" spans="1:10" x14ac:dyDescent="0.2">
      <c r="A700" s="449"/>
      <c r="B700" s="450"/>
      <c r="C700" s="450"/>
      <c r="D700" s="450"/>
      <c r="E700" s="450"/>
      <c r="F700" s="450"/>
      <c r="G700" s="450"/>
      <c r="H700" s="450"/>
      <c r="I700" s="450"/>
      <c r="J700" s="451"/>
    </row>
    <row r="701" spans="1:10" x14ac:dyDescent="0.2">
      <c r="A701" s="449"/>
      <c r="B701" s="450"/>
      <c r="C701" s="450"/>
      <c r="D701" s="450"/>
      <c r="E701" s="450"/>
      <c r="F701" s="450"/>
      <c r="G701" s="450"/>
      <c r="H701" s="450"/>
      <c r="I701" s="450"/>
      <c r="J701" s="451"/>
    </row>
    <row r="702" spans="1:10" x14ac:dyDescent="0.2">
      <c r="A702" s="449"/>
      <c r="B702" s="450"/>
      <c r="C702" s="450"/>
      <c r="D702" s="450"/>
      <c r="E702" s="450"/>
      <c r="F702" s="450"/>
      <c r="G702" s="450"/>
      <c r="H702" s="450"/>
      <c r="I702" s="450"/>
      <c r="J702" s="451"/>
    </row>
    <row r="703" spans="1:10" x14ac:dyDescent="0.2">
      <c r="A703" s="449"/>
      <c r="B703" s="450"/>
      <c r="C703" s="450"/>
      <c r="D703" s="450"/>
      <c r="E703" s="450"/>
      <c r="F703" s="450"/>
      <c r="G703" s="450"/>
      <c r="H703" s="450"/>
      <c r="I703" s="450"/>
      <c r="J703" s="451"/>
    </row>
    <row r="704" spans="1:10" x14ac:dyDescent="0.2">
      <c r="A704" s="449"/>
      <c r="B704" s="450"/>
      <c r="C704" s="450"/>
      <c r="D704" s="450"/>
      <c r="E704" s="450"/>
      <c r="F704" s="450"/>
      <c r="G704" s="450"/>
      <c r="H704" s="450"/>
      <c r="I704" s="450"/>
      <c r="J704" s="451"/>
    </row>
    <row r="705" spans="1:10" x14ac:dyDescent="0.2">
      <c r="A705" s="449"/>
      <c r="B705" s="450"/>
      <c r="C705" s="450"/>
      <c r="D705" s="450"/>
      <c r="E705" s="450"/>
      <c r="F705" s="450"/>
      <c r="G705" s="450"/>
      <c r="H705" s="450"/>
      <c r="I705" s="450"/>
      <c r="J705" s="451"/>
    </row>
    <row r="706" spans="1:10" x14ac:dyDescent="0.2">
      <c r="A706" s="452"/>
      <c r="B706" s="453"/>
      <c r="C706" s="453"/>
      <c r="D706" s="453"/>
      <c r="E706" s="453"/>
      <c r="F706" s="453"/>
      <c r="G706" s="453"/>
      <c r="H706" s="453"/>
      <c r="I706" s="453"/>
      <c r="J706" s="454"/>
    </row>
    <row r="707" spans="1:10" x14ac:dyDescent="0.2">
      <c r="A707" s="36"/>
      <c r="B707" s="36"/>
      <c r="C707" s="36"/>
      <c r="D707" s="36"/>
      <c r="E707" s="36"/>
      <c r="F707" s="36"/>
      <c r="G707" s="36"/>
      <c r="H707" s="36"/>
      <c r="I707" s="36"/>
      <c r="J707" s="36"/>
    </row>
    <row r="708" spans="1:10" ht="15.75" x14ac:dyDescent="0.25">
      <c r="A708" s="280" t="s">
        <v>847</v>
      </c>
      <c r="B708" s="281"/>
      <c r="C708" s="281"/>
      <c r="D708" s="281"/>
      <c r="E708" s="281"/>
      <c r="F708" s="281"/>
      <c r="G708" s="281"/>
      <c r="H708" s="278" t="str">
        <f>'CONTACT INFORMATION'!$A$24</f>
        <v>Los Angeles</v>
      </c>
      <c r="I708" s="278"/>
      <c r="J708" s="279"/>
    </row>
    <row r="709" spans="1:10" ht="15.75" x14ac:dyDescent="0.25">
      <c r="A709" s="43"/>
      <c r="B709" s="43"/>
      <c r="C709" s="43"/>
      <c r="D709" s="43"/>
      <c r="E709" s="43"/>
      <c r="F709" s="43"/>
      <c r="G709" s="43"/>
      <c r="H709" s="43"/>
      <c r="I709" s="43"/>
      <c r="J709" s="43"/>
    </row>
    <row r="710" spans="1:10" ht="15" x14ac:dyDescent="0.25">
      <c r="A710" s="387" t="s">
        <v>909</v>
      </c>
      <c r="B710" s="388"/>
      <c r="C710" s="388"/>
      <c r="D710" s="388"/>
      <c r="E710" s="388"/>
      <c r="F710" s="388"/>
      <c r="G710" s="388"/>
      <c r="H710" s="388"/>
      <c r="I710" s="388"/>
      <c r="J710" s="389"/>
    </row>
    <row r="711" spans="1:10" x14ac:dyDescent="0.2">
      <c r="A711" s="390" t="s">
        <v>853</v>
      </c>
      <c r="B711" s="391"/>
      <c r="C711" s="391"/>
      <c r="D711" s="392"/>
      <c r="E711" s="393" t="s">
        <v>969</v>
      </c>
      <c r="F711" s="394"/>
      <c r="G711" s="394"/>
      <c r="H711" s="394"/>
      <c r="I711" s="394"/>
      <c r="J711" s="395"/>
    </row>
    <row r="712" spans="1:10" x14ac:dyDescent="0.2">
      <c r="A712" s="399" t="s">
        <v>852</v>
      </c>
      <c r="B712" s="400"/>
      <c r="C712" s="400"/>
      <c r="D712" s="401"/>
      <c r="E712" s="396"/>
      <c r="F712" s="397"/>
      <c r="G712" s="397"/>
      <c r="H712" s="397"/>
      <c r="I712" s="397"/>
      <c r="J712" s="398"/>
    </row>
    <row r="713" spans="1:10" x14ac:dyDescent="0.2">
      <c r="A713" s="431" t="s">
        <v>808</v>
      </c>
      <c r="B713" s="432"/>
      <c r="C713" s="432"/>
      <c r="D713" s="432"/>
      <c r="E713" s="405"/>
      <c r="F713" s="406"/>
      <c r="G713" s="406"/>
      <c r="H713" s="406"/>
      <c r="I713" s="406"/>
      <c r="J713" s="407"/>
    </row>
    <row r="714" spans="1:10" x14ac:dyDescent="0.2">
      <c r="A714" s="44"/>
      <c r="B714" s="45"/>
      <c r="C714" s="45"/>
      <c r="D714" s="45"/>
      <c r="E714" s="494" t="s">
        <v>535</v>
      </c>
      <c r="F714" s="379"/>
      <c r="G714" s="494" t="s">
        <v>533</v>
      </c>
      <c r="H714" s="379"/>
      <c r="I714" s="380" t="s">
        <v>848</v>
      </c>
      <c r="J714" s="381"/>
    </row>
    <row r="715" spans="1:10" x14ac:dyDescent="0.2">
      <c r="A715" s="440" t="s">
        <v>527</v>
      </c>
      <c r="B715" s="440"/>
      <c r="C715" s="440"/>
      <c r="D715" s="440"/>
      <c r="E715" s="385"/>
      <c r="F715" s="385"/>
      <c r="G715" s="385"/>
      <c r="H715" s="385"/>
      <c r="I715" s="386"/>
      <c r="J715" s="386"/>
    </row>
    <row r="716" spans="1:10" x14ac:dyDescent="0.2">
      <c r="A716" s="433" t="s">
        <v>528</v>
      </c>
      <c r="B716" s="433"/>
      <c r="C716" s="433"/>
      <c r="D716" s="433"/>
      <c r="E716" s="375">
        <v>71385</v>
      </c>
      <c r="F716" s="375"/>
      <c r="G716" s="376"/>
      <c r="H716" s="376"/>
      <c r="I716" s="377"/>
      <c r="J716" s="377"/>
    </row>
    <row r="717" spans="1:10" x14ac:dyDescent="0.2">
      <c r="A717" s="440" t="s">
        <v>529</v>
      </c>
      <c r="B717" s="440"/>
      <c r="C717" s="440"/>
      <c r="D717" s="440"/>
      <c r="E717" s="385">
        <v>9379</v>
      </c>
      <c r="F717" s="385"/>
      <c r="G717" s="385"/>
      <c r="H717" s="385"/>
      <c r="I717" s="386"/>
      <c r="J717" s="386"/>
    </row>
    <row r="718" spans="1:10" x14ac:dyDescent="0.2">
      <c r="A718" s="433" t="s">
        <v>530</v>
      </c>
      <c r="B718" s="433"/>
      <c r="C718" s="433"/>
      <c r="D718" s="433"/>
      <c r="E718" s="375">
        <v>506097</v>
      </c>
      <c r="F718" s="375"/>
      <c r="G718" s="376"/>
      <c r="H718" s="376"/>
      <c r="I718" s="377"/>
      <c r="J718" s="377"/>
    </row>
    <row r="719" spans="1:10" x14ac:dyDescent="0.2">
      <c r="A719" s="440" t="s">
        <v>531</v>
      </c>
      <c r="B719" s="440"/>
      <c r="C719" s="440"/>
      <c r="D719" s="440"/>
      <c r="E719" s="385"/>
      <c r="F719" s="385"/>
      <c r="G719" s="385"/>
      <c r="H719" s="385"/>
      <c r="I719" s="386"/>
      <c r="J719" s="386"/>
    </row>
    <row r="720" spans="1:10" x14ac:dyDescent="0.2">
      <c r="A720" s="433" t="s">
        <v>532</v>
      </c>
      <c r="B720" s="433"/>
      <c r="C720" s="433"/>
      <c r="D720" s="433"/>
      <c r="E720" s="375">
        <v>2689</v>
      </c>
      <c r="F720" s="375"/>
      <c r="G720" s="376"/>
      <c r="H720" s="376"/>
      <c r="I720" s="377"/>
      <c r="J720" s="377"/>
    </row>
    <row r="721" spans="1:10" x14ac:dyDescent="0.2">
      <c r="A721" s="440" t="s">
        <v>537</v>
      </c>
      <c r="B721" s="440"/>
      <c r="C721" s="440"/>
      <c r="D721" s="440"/>
      <c r="E721" s="418"/>
      <c r="F721" s="418"/>
      <c r="G721" s="418"/>
      <c r="H721" s="418"/>
      <c r="I721" s="419"/>
      <c r="J721" s="419"/>
    </row>
    <row r="722" spans="1:10" x14ac:dyDescent="0.2">
      <c r="A722" s="408" t="s">
        <v>963</v>
      </c>
      <c r="B722" s="409"/>
      <c r="C722" s="409"/>
      <c r="D722" s="410"/>
      <c r="E722" s="375">
        <v>6932</v>
      </c>
      <c r="F722" s="375"/>
      <c r="G722" s="376"/>
      <c r="H722" s="376"/>
      <c r="I722" s="376"/>
      <c r="J722" s="376"/>
    </row>
    <row r="723" spans="1:10" x14ac:dyDescent="0.2">
      <c r="A723" s="408" t="s">
        <v>964</v>
      </c>
      <c r="B723" s="409"/>
      <c r="C723" s="409"/>
      <c r="D723" s="410"/>
      <c r="E723" s="375">
        <v>4469</v>
      </c>
      <c r="F723" s="375"/>
      <c r="G723" s="376"/>
      <c r="H723" s="376"/>
      <c r="I723" s="376"/>
      <c r="J723" s="376"/>
    </row>
    <row r="724" spans="1:10" x14ac:dyDescent="0.2">
      <c r="A724" s="408"/>
      <c r="B724" s="409"/>
      <c r="C724" s="409"/>
      <c r="D724" s="410"/>
      <c r="E724" s="375"/>
      <c r="F724" s="375"/>
      <c r="G724" s="376"/>
      <c r="H724" s="376"/>
      <c r="I724" s="376"/>
      <c r="J724" s="376"/>
    </row>
    <row r="725" spans="1:10" x14ac:dyDescent="0.2">
      <c r="A725" s="455" t="s">
        <v>534</v>
      </c>
      <c r="B725" s="455"/>
      <c r="C725" s="455"/>
      <c r="D725" s="455"/>
      <c r="E725" s="414">
        <f>SUM(E715:E724)</f>
        <v>600951</v>
      </c>
      <c r="F725" s="414"/>
      <c r="G725" s="414">
        <f>SUM(G715:G724)</f>
        <v>0</v>
      </c>
      <c r="H725" s="414"/>
      <c r="I725" s="414">
        <f>SUM(I715:I724)</f>
        <v>0</v>
      </c>
      <c r="J725" s="414"/>
    </row>
    <row r="726" spans="1:10" x14ac:dyDescent="0.2">
      <c r="A726" s="415" t="s">
        <v>860</v>
      </c>
      <c r="B726" s="416"/>
      <c r="C726" s="416"/>
      <c r="D726" s="416"/>
      <c r="E726" s="416"/>
      <c r="F726" s="416"/>
      <c r="G726" s="416"/>
      <c r="H726" s="416"/>
      <c r="I726" s="416"/>
      <c r="J726" s="417"/>
    </row>
    <row r="727" spans="1:10" x14ac:dyDescent="0.2">
      <c r="A727" s="358" t="s">
        <v>861</v>
      </c>
      <c r="B727" s="359"/>
      <c r="C727" s="359"/>
      <c r="D727" s="359"/>
      <c r="E727" s="359"/>
      <c r="F727" s="359"/>
      <c r="G727" s="359"/>
      <c r="H727" s="359"/>
      <c r="I727" s="359"/>
      <c r="J727" s="360"/>
    </row>
    <row r="728" spans="1:10" x14ac:dyDescent="0.2">
      <c r="A728" s="358" t="s">
        <v>862</v>
      </c>
      <c r="B728" s="359"/>
      <c r="C728" s="359"/>
      <c r="D728" s="359"/>
      <c r="E728" s="359"/>
      <c r="F728" s="359"/>
      <c r="G728" s="359"/>
      <c r="H728" s="359"/>
      <c r="I728" s="359"/>
      <c r="J728" s="360"/>
    </row>
    <row r="729" spans="1:10" x14ac:dyDescent="0.2">
      <c r="A729" s="361" t="s">
        <v>863</v>
      </c>
      <c r="B729" s="362"/>
      <c r="C729" s="362"/>
      <c r="D729" s="362"/>
      <c r="E729" s="362"/>
      <c r="F729" s="362"/>
      <c r="G729" s="362"/>
      <c r="H729" s="362"/>
      <c r="I729" s="362"/>
      <c r="J729" s="363"/>
    </row>
    <row r="730" spans="1:10" x14ac:dyDescent="0.2">
      <c r="A730" s="446" t="s">
        <v>983</v>
      </c>
      <c r="B730" s="447"/>
      <c r="C730" s="447"/>
      <c r="D730" s="447"/>
      <c r="E730" s="447"/>
      <c r="F730" s="447"/>
      <c r="G730" s="447"/>
      <c r="H730" s="447"/>
      <c r="I730" s="447"/>
      <c r="J730" s="448"/>
    </row>
    <row r="731" spans="1:10" x14ac:dyDescent="0.2">
      <c r="A731" s="449"/>
      <c r="B731" s="450"/>
      <c r="C731" s="450"/>
      <c r="D731" s="450"/>
      <c r="E731" s="450"/>
      <c r="F731" s="450"/>
      <c r="G731" s="450"/>
      <c r="H731" s="450"/>
      <c r="I731" s="450"/>
      <c r="J731" s="451"/>
    </row>
    <row r="732" spans="1:10" x14ac:dyDescent="0.2">
      <c r="A732" s="449"/>
      <c r="B732" s="450"/>
      <c r="C732" s="450"/>
      <c r="D732" s="450"/>
      <c r="E732" s="450"/>
      <c r="F732" s="450"/>
      <c r="G732" s="450"/>
      <c r="H732" s="450"/>
      <c r="I732" s="450"/>
      <c r="J732" s="451"/>
    </row>
    <row r="733" spans="1:10" x14ac:dyDescent="0.2">
      <c r="A733" s="449"/>
      <c r="B733" s="450"/>
      <c r="C733" s="450"/>
      <c r="D733" s="450"/>
      <c r="E733" s="450"/>
      <c r="F733" s="450"/>
      <c r="G733" s="450"/>
      <c r="H733" s="450"/>
      <c r="I733" s="450"/>
      <c r="J733" s="451"/>
    </row>
    <row r="734" spans="1:10" x14ac:dyDescent="0.2">
      <c r="A734" s="449"/>
      <c r="B734" s="450"/>
      <c r="C734" s="450"/>
      <c r="D734" s="450"/>
      <c r="E734" s="450"/>
      <c r="F734" s="450"/>
      <c r="G734" s="450"/>
      <c r="H734" s="450"/>
      <c r="I734" s="450"/>
      <c r="J734" s="451"/>
    </row>
    <row r="735" spans="1:10" x14ac:dyDescent="0.2">
      <c r="A735" s="449"/>
      <c r="B735" s="450"/>
      <c r="C735" s="450"/>
      <c r="D735" s="450"/>
      <c r="E735" s="450"/>
      <c r="F735" s="450"/>
      <c r="G735" s="450"/>
      <c r="H735" s="450"/>
      <c r="I735" s="450"/>
      <c r="J735" s="451"/>
    </row>
    <row r="736" spans="1:10" x14ac:dyDescent="0.2">
      <c r="A736" s="449"/>
      <c r="B736" s="450"/>
      <c r="C736" s="450"/>
      <c r="D736" s="450"/>
      <c r="E736" s="450"/>
      <c r="F736" s="450"/>
      <c r="G736" s="450"/>
      <c r="H736" s="450"/>
      <c r="I736" s="450"/>
      <c r="J736" s="451"/>
    </row>
    <row r="737" spans="1:10" x14ac:dyDescent="0.2">
      <c r="A737" s="449"/>
      <c r="B737" s="450"/>
      <c r="C737" s="450"/>
      <c r="D737" s="450"/>
      <c r="E737" s="450"/>
      <c r="F737" s="450"/>
      <c r="G737" s="450"/>
      <c r="H737" s="450"/>
      <c r="I737" s="450"/>
      <c r="J737" s="451"/>
    </row>
    <row r="738" spans="1:10" x14ac:dyDescent="0.2">
      <c r="A738" s="449"/>
      <c r="B738" s="450"/>
      <c r="C738" s="450"/>
      <c r="D738" s="450"/>
      <c r="E738" s="450"/>
      <c r="F738" s="450"/>
      <c r="G738" s="450"/>
      <c r="H738" s="450"/>
      <c r="I738" s="450"/>
      <c r="J738" s="451"/>
    </row>
    <row r="739" spans="1:10" x14ac:dyDescent="0.2">
      <c r="A739" s="449"/>
      <c r="B739" s="450"/>
      <c r="C739" s="450"/>
      <c r="D739" s="450"/>
      <c r="E739" s="450"/>
      <c r="F739" s="450"/>
      <c r="G739" s="450"/>
      <c r="H739" s="450"/>
      <c r="I739" s="450"/>
      <c r="J739" s="451"/>
    </row>
    <row r="740" spans="1:10" x14ac:dyDescent="0.2">
      <c r="A740" s="449"/>
      <c r="B740" s="450"/>
      <c r="C740" s="450"/>
      <c r="D740" s="450"/>
      <c r="E740" s="450"/>
      <c r="F740" s="450"/>
      <c r="G740" s="450"/>
      <c r="H740" s="450"/>
      <c r="I740" s="450"/>
      <c r="J740" s="451"/>
    </row>
    <row r="741" spans="1:10" x14ac:dyDescent="0.2">
      <c r="A741" s="449"/>
      <c r="B741" s="450"/>
      <c r="C741" s="450"/>
      <c r="D741" s="450"/>
      <c r="E741" s="450"/>
      <c r="F741" s="450"/>
      <c r="G741" s="450"/>
      <c r="H741" s="450"/>
      <c r="I741" s="450"/>
      <c r="J741" s="451"/>
    </row>
    <row r="742" spans="1:10" x14ac:dyDescent="0.2">
      <c r="A742" s="449"/>
      <c r="B742" s="450"/>
      <c r="C742" s="450"/>
      <c r="D742" s="450"/>
      <c r="E742" s="450"/>
      <c r="F742" s="450"/>
      <c r="G742" s="450"/>
      <c r="H742" s="450"/>
      <c r="I742" s="450"/>
      <c r="J742" s="451"/>
    </row>
    <row r="743" spans="1:10" x14ac:dyDescent="0.2">
      <c r="A743" s="449"/>
      <c r="B743" s="450"/>
      <c r="C743" s="450"/>
      <c r="D743" s="450"/>
      <c r="E743" s="450"/>
      <c r="F743" s="450"/>
      <c r="G743" s="450"/>
      <c r="H743" s="450"/>
      <c r="I743" s="450"/>
      <c r="J743" s="451"/>
    </row>
    <row r="744" spans="1:10" x14ac:dyDescent="0.2">
      <c r="A744" s="449"/>
      <c r="B744" s="450"/>
      <c r="C744" s="450"/>
      <c r="D744" s="450"/>
      <c r="E744" s="450"/>
      <c r="F744" s="450"/>
      <c r="G744" s="450"/>
      <c r="H744" s="450"/>
      <c r="I744" s="450"/>
      <c r="J744" s="451"/>
    </row>
    <row r="745" spans="1:10" x14ac:dyDescent="0.2">
      <c r="A745" s="449"/>
      <c r="B745" s="450"/>
      <c r="C745" s="450"/>
      <c r="D745" s="450"/>
      <c r="E745" s="450"/>
      <c r="F745" s="450"/>
      <c r="G745" s="450"/>
      <c r="H745" s="450"/>
      <c r="I745" s="450"/>
      <c r="J745" s="451"/>
    </row>
    <row r="746" spans="1:10" x14ac:dyDescent="0.2">
      <c r="A746" s="449"/>
      <c r="B746" s="450"/>
      <c r="C746" s="450"/>
      <c r="D746" s="450"/>
      <c r="E746" s="450"/>
      <c r="F746" s="450"/>
      <c r="G746" s="450"/>
      <c r="H746" s="450"/>
      <c r="I746" s="450"/>
      <c r="J746" s="451"/>
    </row>
    <row r="747" spans="1:10" x14ac:dyDescent="0.2">
      <c r="A747" s="449"/>
      <c r="B747" s="450"/>
      <c r="C747" s="450"/>
      <c r="D747" s="450"/>
      <c r="E747" s="450"/>
      <c r="F747" s="450"/>
      <c r="G747" s="450"/>
      <c r="H747" s="450"/>
      <c r="I747" s="450"/>
      <c r="J747" s="451"/>
    </row>
    <row r="748" spans="1:10" x14ac:dyDescent="0.2">
      <c r="A748" s="449"/>
      <c r="B748" s="450"/>
      <c r="C748" s="450"/>
      <c r="D748" s="450"/>
      <c r="E748" s="450"/>
      <c r="F748" s="450"/>
      <c r="G748" s="450"/>
      <c r="H748" s="450"/>
      <c r="I748" s="450"/>
      <c r="J748" s="451"/>
    </row>
    <row r="749" spans="1:10" x14ac:dyDescent="0.2">
      <c r="A749" s="449"/>
      <c r="B749" s="450"/>
      <c r="C749" s="450"/>
      <c r="D749" s="450"/>
      <c r="E749" s="450"/>
      <c r="F749" s="450"/>
      <c r="G749" s="450"/>
      <c r="H749" s="450"/>
      <c r="I749" s="450"/>
      <c r="J749" s="451"/>
    </row>
    <row r="750" spans="1:10" x14ac:dyDescent="0.2">
      <c r="A750" s="449"/>
      <c r="B750" s="450"/>
      <c r="C750" s="450"/>
      <c r="D750" s="450"/>
      <c r="E750" s="450"/>
      <c r="F750" s="450"/>
      <c r="G750" s="450"/>
      <c r="H750" s="450"/>
      <c r="I750" s="450"/>
      <c r="J750" s="451"/>
    </row>
    <row r="751" spans="1:10" x14ac:dyDescent="0.2">
      <c r="A751" s="449"/>
      <c r="B751" s="450"/>
      <c r="C751" s="450"/>
      <c r="D751" s="450"/>
      <c r="E751" s="450"/>
      <c r="F751" s="450"/>
      <c r="G751" s="450"/>
      <c r="H751" s="450"/>
      <c r="I751" s="450"/>
      <c r="J751" s="451"/>
    </row>
    <row r="752" spans="1:10" x14ac:dyDescent="0.2">
      <c r="A752" s="449"/>
      <c r="B752" s="450"/>
      <c r="C752" s="450"/>
      <c r="D752" s="450"/>
      <c r="E752" s="450"/>
      <c r="F752" s="450"/>
      <c r="G752" s="450"/>
      <c r="H752" s="450"/>
      <c r="I752" s="450"/>
      <c r="J752" s="451"/>
    </row>
    <row r="753" spans="1:10" x14ac:dyDescent="0.2">
      <c r="A753" s="449"/>
      <c r="B753" s="450"/>
      <c r="C753" s="450"/>
      <c r="D753" s="450"/>
      <c r="E753" s="450"/>
      <c r="F753" s="450"/>
      <c r="G753" s="450"/>
      <c r="H753" s="450"/>
      <c r="I753" s="450"/>
      <c r="J753" s="451"/>
    </row>
    <row r="754" spans="1:10" x14ac:dyDescent="0.2">
      <c r="A754" s="449"/>
      <c r="B754" s="450"/>
      <c r="C754" s="450"/>
      <c r="D754" s="450"/>
      <c r="E754" s="450"/>
      <c r="F754" s="450"/>
      <c r="G754" s="450"/>
      <c r="H754" s="450"/>
      <c r="I754" s="450"/>
      <c r="J754" s="451"/>
    </row>
    <row r="755" spans="1:10" x14ac:dyDescent="0.2">
      <c r="A755" s="449"/>
      <c r="B755" s="450"/>
      <c r="C755" s="450"/>
      <c r="D755" s="450"/>
      <c r="E755" s="450"/>
      <c r="F755" s="450"/>
      <c r="G755" s="450"/>
      <c r="H755" s="450"/>
      <c r="I755" s="450"/>
      <c r="J755" s="451"/>
    </row>
    <row r="756" spans="1:10" x14ac:dyDescent="0.2">
      <c r="A756" s="449"/>
      <c r="B756" s="450"/>
      <c r="C756" s="450"/>
      <c r="D756" s="450"/>
      <c r="E756" s="450"/>
      <c r="F756" s="450"/>
      <c r="G756" s="450"/>
      <c r="H756" s="450"/>
      <c r="I756" s="450"/>
      <c r="J756" s="451"/>
    </row>
    <row r="757" spans="1:10" x14ac:dyDescent="0.2">
      <c r="A757" s="449"/>
      <c r="B757" s="450"/>
      <c r="C757" s="450"/>
      <c r="D757" s="450"/>
      <c r="E757" s="450"/>
      <c r="F757" s="450"/>
      <c r="G757" s="450"/>
      <c r="H757" s="450"/>
      <c r="I757" s="450"/>
      <c r="J757" s="451"/>
    </row>
    <row r="758" spans="1:10" x14ac:dyDescent="0.2">
      <c r="A758" s="449"/>
      <c r="B758" s="450"/>
      <c r="C758" s="450"/>
      <c r="D758" s="450"/>
      <c r="E758" s="450"/>
      <c r="F758" s="450"/>
      <c r="G758" s="450"/>
      <c r="H758" s="450"/>
      <c r="I758" s="450"/>
      <c r="J758" s="451"/>
    </row>
    <row r="759" spans="1:10" x14ac:dyDescent="0.2">
      <c r="A759" s="449"/>
      <c r="B759" s="450"/>
      <c r="C759" s="450"/>
      <c r="D759" s="450"/>
      <c r="E759" s="450"/>
      <c r="F759" s="450"/>
      <c r="G759" s="450"/>
      <c r="H759" s="450"/>
      <c r="I759" s="450"/>
      <c r="J759" s="451"/>
    </row>
    <row r="760" spans="1:10" x14ac:dyDescent="0.2">
      <c r="A760" s="452"/>
      <c r="B760" s="453"/>
      <c r="C760" s="453"/>
      <c r="D760" s="453"/>
      <c r="E760" s="453"/>
      <c r="F760" s="453"/>
      <c r="G760" s="453"/>
      <c r="H760" s="453"/>
      <c r="I760" s="453"/>
      <c r="J760" s="454"/>
    </row>
    <row r="762" spans="1:10" ht="15.75" x14ac:dyDescent="0.25">
      <c r="A762" s="280" t="s">
        <v>847</v>
      </c>
      <c r="B762" s="281"/>
      <c r="C762" s="281"/>
      <c r="D762" s="281"/>
      <c r="E762" s="281"/>
      <c r="F762" s="281"/>
      <c r="G762" s="281"/>
      <c r="H762" s="278" t="str">
        <f>'CONTACT INFORMATION'!$A$24</f>
        <v>Los Angeles</v>
      </c>
      <c r="I762" s="278"/>
      <c r="J762" s="279"/>
    </row>
    <row r="763" spans="1:10" ht="15.75" x14ac:dyDescent="0.25">
      <c r="A763" s="43"/>
      <c r="B763" s="43"/>
      <c r="C763" s="43"/>
      <c r="D763" s="43"/>
      <c r="E763" s="43"/>
      <c r="F763" s="43"/>
      <c r="G763" s="43"/>
      <c r="H763" s="43"/>
      <c r="I763" s="43"/>
      <c r="J763" s="43"/>
    </row>
    <row r="764" spans="1:10" ht="15" x14ac:dyDescent="0.25">
      <c r="A764" s="387" t="s">
        <v>910</v>
      </c>
      <c r="B764" s="388"/>
      <c r="C764" s="388"/>
      <c r="D764" s="388"/>
      <c r="E764" s="388"/>
      <c r="F764" s="388"/>
      <c r="G764" s="388"/>
      <c r="H764" s="388"/>
      <c r="I764" s="388"/>
      <c r="J764" s="389"/>
    </row>
    <row r="765" spans="1:10" x14ac:dyDescent="0.2">
      <c r="A765" s="390" t="s">
        <v>853</v>
      </c>
      <c r="B765" s="391"/>
      <c r="C765" s="391"/>
      <c r="D765" s="392"/>
      <c r="E765" s="393" t="s">
        <v>971</v>
      </c>
      <c r="F765" s="394"/>
      <c r="G765" s="394"/>
      <c r="H765" s="394"/>
      <c r="I765" s="394"/>
      <c r="J765" s="395"/>
    </row>
    <row r="766" spans="1:10" x14ac:dyDescent="0.2">
      <c r="A766" s="399" t="s">
        <v>852</v>
      </c>
      <c r="B766" s="400"/>
      <c r="C766" s="400"/>
      <c r="D766" s="401"/>
      <c r="E766" s="396"/>
      <c r="F766" s="397"/>
      <c r="G766" s="397"/>
      <c r="H766" s="397"/>
      <c r="I766" s="397"/>
      <c r="J766" s="398"/>
    </row>
    <row r="767" spans="1:10" x14ac:dyDescent="0.2">
      <c r="A767" s="431" t="s">
        <v>808</v>
      </c>
      <c r="B767" s="432"/>
      <c r="C767" s="432"/>
      <c r="D767" s="432"/>
      <c r="E767" s="405"/>
      <c r="F767" s="406"/>
      <c r="G767" s="406"/>
      <c r="H767" s="406"/>
      <c r="I767" s="406"/>
      <c r="J767" s="407"/>
    </row>
    <row r="768" spans="1:10" x14ac:dyDescent="0.2">
      <c r="A768" s="44"/>
      <c r="B768" s="45"/>
      <c r="C768" s="45"/>
      <c r="D768" s="45"/>
      <c r="E768" s="494" t="s">
        <v>535</v>
      </c>
      <c r="F768" s="379"/>
      <c r="G768" s="494" t="s">
        <v>533</v>
      </c>
      <c r="H768" s="379"/>
      <c r="I768" s="380" t="s">
        <v>848</v>
      </c>
      <c r="J768" s="381"/>
    </row>
    <row r="769" spans="1:10" x14ac:dyDescent="0.2">
      <c r="A769" s="440" t="s">
        <v>527</v>
      </c>
      <c r="B769" s="440"/>
      <c r="C769" s="440"/>
      <c r="D769" s="440"/>
      <c r="E769" s="385"/>
      <c r="F769" s="385"/>
      <c r="G769" s="385"/>
      <c r="H769" s="385"/>
      <c r="I769" s="386"/>
      <c r="J769" s="386"/>
    </row>
    <row r="770" spans="1:10" x14ac:dyDescent="0.2">
      <c r="A770" s="433" t="s">
        <v>528</v>
      </c>
      <c r="B770" s="433"/>
      <c r="C770" s="433"/>
      <c r="D770" s="433"/>
      <c r="E770" s="375">
        <v>125206</v>
      </c>
      <c r="F770" s="375"/>
      <c r="G770" s="376"/>
      <c r="H770" s="376"/>
      <c r="I770" s="377"/>
      <c r="J770" s="377"/>
    </row>
    <row r="771" spans="1:10" x14ac:dyDescent="0.2">
      <c r="A771" s="440" t="s">
        <v>529</v>
      </c>
      <c r="B771" s="440"/>
      <c r="C771" s="440"/>
      <c r="D771" s="440"/>
      <c r="E771" s="385">
        <v>6165</v>
      </c>
      <c r="F771" s="385"/>
      <c r="G771" s="385"/>
      <c r="H771" s="385"/>
      <c r="I771" s="386"/>
      <c r="J771" s="386"/>
    </row>
    <row r="772" spans="1:10" x14ac:dyDescent="0.2">
      <c r="A772" s="433" t="s">
        <v>530</v>
      </c>
      <c r="B772" s="433"/>
      <c r="C772" s="433"/>
      <c r="D772" s="433"/>
      <c r="E772" s="375">
        <v>254347</v>
      </c>
      <c r="F772" s="375"/>
      <c r="G772" s="376"/>
      <c r="H772" s="376"/>
      <c r="I772" s="377"/>
      <c r="J772" s="377"/>
    </row>
    <row r="773" spans="1:10" x14ac:dyDescent="0.2">
      <c r="A773" s="440" t="s">
        <v>531</v>
      </c>
      <c r="B773" s="440"/>
      <c r="C773" s="440"/>
      <c r="D773" s="440"/>
      <c r="E773" s="385"/>
      <c r="F773" s="385"/>
      <c r="G773" s="385"/>
      <c r="H773" s="385"/>
      <c r="I773" s="386"/>
      <c r="J773" s="386"/>
    </row>
    <row r="774" spans="1:10" x14ac:dyDescent="0.2">
      <c r="A774" s="433" t="s">
        <v>532</v>
      </c>
      <c r="B774" s="433"/>
      <c r="C774" s="433"/>
      <c r="D774" s="433"/>
      <c r="E774" s="375">
        <v>1767</v>
      </c>
      <c r="F774" s="375"/>
      <c r="G774" s="376"/>
      <c r="H774" s="376"/>
      <c r="I774" s="377"/>
      <c r="J774" s="377"/>
    </row>
    <row r="775" spans="1:10" x14ac:dyDescent="0.2">
      <c r="A775" s="440" t="s">
        <v>537</v>
      </c>
      <c r="B775" s="440"/>
      <c r="C775" s="440"/>
      <c r="D775" s="440"/>
      <c r="E775" s="418"/>
      <c r="F775" s="418"/>
      <c r="G775" s="418"/>
      <c r="H775" s="418"/>
      <c r="I775" s="419"/>
      <c r="J775" s="419"/>
    </row>
    <row r="776" spans="1:10" x14ac:dyDescent="0.2">
      <c r="A776" s="408" t="s">
        <v>963</v>
      </c>
      <c r="B776" s="409"/>
      <c r="C776" s="409"/>
      <c r="D776" s="410"/>
      <c r="E776" s="375">
        <v>4556</v>
      </c>
      <c r="F776" s="375"/>
      <c r="G776" s="376"/>
      <c r="H776" s="376"/>
      <c r="I776" s="376"/>
      <c r="J776" s="376"/>
    </row>
    <row r="777" spans="1:10" x14ac:dyDescent="0.2">
      <c r="A777" s="408" t="s">
        <v>964</v>
      </c>
      <c r="B777" s="409"/>
      <c r="C777" s="409"/>
      <c r="D777" s="410"/>
      <c r="E777" s="375">
        <v>2937</v>
      </c>
      <c r="F777" s="375"/>
      <c r="G777" s="376"/>
      <c r="H777" s="376"/>
      <c r="I777" s="376"/>
      <c r="J777" s="376"/>
    </row>
    <row r="778" spans="1:10" x14ac:dyDescent="0.2">
      <c r="A778" s="408"/>
      <c r="B778" s="409"/>
      <c r="C778" s="409"/>
      <c r="D778" s="410"/>
      <c r="E778" s="375"/>
      <c r="F778" s="375"/>
      <c r="G778" s="376"/>
      <c r="H778" s="376"/>
      <c r="I778" s="376"/>
      <c r="J778" s="376"/>
    </row>
    <row r="779" spans="1:10" x14ac:dyDescent="0.2">
      <c r="A779" s="455" t="s">
        <v>534</v>
      </c>
      <c r="B779" s="455"/>
      <c r="C779" s="455"/>
      <c r="D779" s="455"/>
      <c r="E779" s="414">
        <f>SUM(E769:E778)</f>
        <v>394978</v>
      </c>
      <c r="F779" s="414"/>
      <c r="G779" s="414">
        <f>SUM(G769:G778)</f>
        <v>0</v>
      </c>
      <c r="H779" s="414"/>
      <c r="I779" s="414">
        <f>SUM(I769:I778)</f>
        <v>0</v>
      </c>
      <c r="J779" s="414"/>
    </row>
    <row r="780" spans="1:10" x14ac:dyDescent="0.2">
      <c r="A780" s="415" t="s">
        <v>860</v>
      </c>
      <c r="B780" s="416"/>
      <c r="C780" s="416"/>
      <c r="D780" s="416"/>
      <c r="E780" s="416"/>
      <c r="F780" s="416"/>
      <c r="G780" s="416"/>
      <c r="H780" s="416"/>
      <c r="I780" s="416"/>
      <c r="J780" s="417"/>
    </row>
    <row r="781" spans="1:10" x14ac:dyDescent="0.2">
      <c r="A781" s="358" t="s">
        <v>861</v>
      </c>
      <c r="B781" s="359"/>
      <c r="C781" s="359"/>
      <c r="D781" s="359"/>
      <c r="E781" s="359"/>
      <c r="F781" s="359"/>
      <c r="G781" s="359"/>
      <c r="H781" s="359"/>
      <c r="I781" s="359"/>
      <c r="J781" s="360"/>
    </row>
    <row r="782" spans="1:10" x14ac:dyDescent="0.2">
      <c r="A782" s="358" t="s">
        <v>862</v>
      </c>
      <c r="B782" s="359"/>
      <c r="C782" s="359"/>
      <c r="D782" s="359"/>
      <c r="E782" s="359"/>
      <c r="F782" s="359"/>
      <c r="G782" s="359"/>
      <c r="H782" s="359"/>
      <c r="I782" s="359"/>
      <c r="J782" s="360"/>
    </row>
    <row r="783" spans="1:10" x14ac:dyDescent="0.2">
      <c r="A783" s="361" t="s">
        <v>863</v>
      </c>
      <c r="B783" s="362"/>
      <c r="C783" s="362"/>
      <c r="D783" s="362"/>
      <c r="E783" s="362"/>
      <c r="F783" s="362"/>
      <c r="G783" s="362"/>
      <c r="H783" s="362"/>
      <c r="I783" s="362"/>
      <c r="J783" s="363"/>
    </row>
    <row r="784" spans="1:10" x14ac:dyDescent="0.2">
      <c r="A784" s="446" t="s">
        <v>984</v>
      </c>
      <c r="B784" s="447"/>
      <c r="C784" s="447"/>
      <c r="D784" s="447"/>
      <c r="E784" s="447"/>
      <c r="F784" s="447"/>
      <c r="G784" s="447"/>
      <c r="H784" s="447"/>
      <c r="I784" s="447"/>
      <c r="J784" s="448"/>
    </row>
    <row r="785" spans="1:10" x14ac:dyDescent="0.2">
      <c r="A785" s="449"/>
      <c r="B785" s="450"/>
      <c r="C785" s="450"/>
      <c r="D785" s="450"/>
      <c r="E785" s="450"/>
      <c r="F785" s="450"/>
      <c r="G785" s="450"/>
      <c r="H785" s="450"/>
      <c r="I785" s="450"/>
      <c r="J785" s="451"/>
    </row>
    <row r="786" spans="1:10" x14ac:dyDescent="0.2">
      <c r="A786" s="449"/>
      <c r="B786" s="450"/>
      <c r="C786" s="450"/>
      <c r="D786" s="450"/>
      <c r="E786" s="450"/>
      <c r="F786" s="450"/>
      <c r="G786" s="450"/>
      <c r="H786" s="450"/>
      <c r="I786" s="450"/>
      <c r="J786" s="451"/>
    </row>
    <row r="787" spans="1:10" x14ac:dyDescent="0.2">
      <c r="A787" s="449"/>
      <c r="B787" s="450"/>
      <c r="C787" s="450"/>
      <c r="D787" s="450"/>
      <c r="E787" s="450"/>
      <c r="F787" s="450"/>
      <c r="G787" s="450"/>
      <c r="H787" s="450"/>
      <c r="I787" s="450"/>
      <c r="J787" s="451"/>
    </row>
    <row r="788" spans="1:10" x14ac:dyDescent="0.2">
      <c r="A788" s="449"/>
      <c r="B788" s="450"/>
      <c r="C788" s="450"/>
      <c r="D788" s="450"/>
      <c r="E788" s="450"/>
      <c r="F788" s="450"/>
      <c r="G788" s="450"/>
      <c r="H788" s="450"/>
      <c r="I788" s="450"/>
      <c r="J788" s="451"/>
    </row>
    <row r="789" spans="1:10" x14ac:dyDescent="0.2">
      <c r="A789" s="449"/>
      <c r="B789" s="450"/>
      <c r="C789" s="450"/>
      <c r="D789" s="450"/>
      <c r="E789" s="450"/>
      <c r="F789" s="450"/>
      <c r="G789" s="450"/>
      <c r="H789" s="450"/>
      <c r="I789" s="450"/>
      <c r="J789" s="451"/>
    </row>
    <row r="790" spans="1:10" x14ac:dyDescent="0.2">
      <c r="A790" s="449"/>
      <c r="B790" s="450"/>
      <c r="C790" s="450"/>
      <c r="D790" s="450"/>
      <c r="E790" s="450"/>
      <c r="F790" s="450"/>
      <c r="G790" s="450"/>
      <c r="H790" s="450"/>
      <c r="I790" s="450"/>
      <c r="J790" s="451"/>
    </row>
    <row r="791" spans="1:10" x14ac:dyDescent="0.2">
      <c r="A791" s="449"/>
      <c r="B791" s="450"/>
      <c r="C791" s="450"/>
      <c r="D791" s="450"/>
      <c r="E791" s="450"/>
      <c r="F791" s="450"/>
      <c r="G791" s="450"/>
      <c r="H791" s="450"/>
      <c r="I791" s="450"/>
      <c r="J791" s="451"/>
    </row>
    <row r="792" spans="1:10" x14ac:dyDescent="0.2">
      <c r="A792" s="449"/>
      <c r="B792" s="450"/>
      <c r="C792" s="450"/>
      <c r="D792" s="450"/>
      <c r="E792" s="450"/>
      <c r="F792" s="450"/>
      <c r="G792" s="450"/>
      <c r="H792" s="450"/>
      <c r="I792" s="450"/>
      <c r="J792" s="451"/>
    </row>
    <row r="793" spans="1:10" x14ac:dyDescent="0.2">
      <c r="A793" s="449"/>
      <c r="B793" s="450"/>
      <c r="C793" s="450"/>
      <c r="D793" s="450"/>
      <c r="E793" s="450"/>
      <c r="F793" s="450"/>
      <c r="G793" s="450"/>
      <c r="H793" s="450"/>
      <c r="I793" s="450"/>
      <c r="J793" s="451"/>
    </row>
    <row r="794" spans="1:10" x14ac:dyDescent="0.2">
      <c r="A794" s="449"/>
      <c r="B794" s="450"/>
      <c r="C794" s="450"/>
      <c r="D794" s="450"/>
      <c r="E794" s="450"/>
      <c r="F794" s="450"/>
      <c r="G794" s="450"/>
      <c r="H794" s="450"/>
      <c r="I794" s="450"/>
      <c r="J794" s="451"/>
    </row>
    <row r="795" spans="1:10" x14ac:dyDescent="0.2">
      <c r="A795" s="449"/>
      <c r="B795" s="450"/>
      <c r="C795" s="450"/>
      <c r="D795" s="450"/>
      <c r="E795" s="450"/>
      <c r="F795" s="450"/>
      <c r="G795" s="450"/>
      <c r="H795" s="450"/>
      <c r="I795" s="450"/>
      <c r="J795" s="451"/>
    </row>
    <row r="796" spans="1:10" x14ac:dyDescent="0.2">
      <c r="A796" s="449"/>
      <c r="B796" s="450"/>
      <c r="C796" s="450"/>
      <c r="D796" s="450"/>
      <c r="E796" s="450"/>
      <c r="F796" s="450"/>
      <c r="G796" s="450"/>
      <c r="H796" s="450"/>
      <c r="I796" s="450"/>
      <c r="J796" s="451"/>
    </row>
    <row r="797" spans="1:10" x14ac:dyDescent="0.2">
      <c r="A797" s="449"/>
      <c r="B797" s="450"/>
      <c r="C797" s="450"/>
      <c r="D797" s="450"/>
      <c r="E797" s="450"/>
      <c r="F797" s="450"/>
      <c r="G797" s="450"/>
      <c r="H797" s="450"/>
      <c r="I797" s="450"/>
      <c r="J797" s="451"/>
    </row>
    <row r="798" spans="1:10" x14ac:dyDescent="0.2">
      <c r="A798" s="449"/>
      <c r="B798" s="450"/>
      <c r="C798" s="450"/>
      <c r="D798" s="450"/>
      <c r="E798" s="450"/>
      <c r="F798" s="450"/>
      <c r="G798" s="450"/>
      <c r="H798" s="450"/>
      <c r="I798" s="450"/>
      <c r="J798" s="451"/>
    </row>
    <row r="799" spans="1:10" x14ac:dyDescent="0.2">
      <c r="A799" s="449"/>
      <c r="B799" s="450"/>
      <c r="C799" s="450"/>
      <c r="D799" s="450"/>
      <c r="E799" s="450"/>
      <c r="F799" s="450"/>
      <c r="G799" s="450"/>
      <c r="H799" s="450"/>
      <c r="I799" s="450"/>
      <c r="J799" s="451"/>
    </row>
    <row r="800" spans="1:10" x14ac:dyDescent="0.2">
      <c r="A800" s="449"/>
      <c r="B800" s="450"/>
      <c r="C800" s="450"/>
      <c r="D800" s="450"/>
      <c r="E800" s="450"/>
      <c r="F800" s="450"/>
      <c r="G800" s="450"/>
      <c r="H800" s="450"/>
      <c r="I800" s="450"/>
      <c r="J800" s="451"/>
    </row>
    <row r="801" spans="1:10" x14ac:dyDescent="0.2">
      <c r="A801" s="449"/>
      <c r="B801" s="450"/>
      <c r="C801" s="450"/>
      <c r="D801" s="450"/>
      <c r="E801" s="450"/>
      <c r="F801" s="450"/>
      <c r="G801" s="450"/>
      <c r="H801" s="450"/>
      <c r="I801" s="450"/>
      <c r="J801" s="451"/>
    </row>
    <row r="802" spans="1:10" x14ac:dyDescent="0.2">
      <c r="A802" s="449"/>
      <c r="B802" s="450"/>
      <c r="C802" s="450"/>
      <c r="D802" s="450"/>
      <c r="E802" s="450"/>
      <c r="F802" s="450"/>
      <c r="G802" s="450"/>
      <c r="H802" s="450"/>
      <c r="I802" s="450"/>
      <c r="J802" s="451"/>
    </row>
    <row r="803" spans="1:10" x14ac:dyDescent="0.2">
      <c r="A803" s="449"/>
      <c r="B803" s="450"/>
      <c r="C803" s="450"/>
      <c r="D803" s="450"/>
      <c r="E803" s="450"/>
      <c r="F803" s="450"/>
      <c r="G803" s="450"/>
      <c r="H803" s="450"/>
      <c r="I803" s="450"/>
      <c r="J803" s="451"/>
    </row>
    <row r="804" spans="1:10" x14ac:dyDescent="0.2">
      <c r="A804" s="449"/>
      <c r="B804" s="450"/>
      <c r="C804" s="450"/>
      <c r="D804" s="450"/>
      <c r="E804" s="450"/>
      <c r="F804" s="450"/>
      <c r="G804" s="450"/>
      <c r="H804" s="450"/>
      <c r="I804" s="450"/>
      <c r="J804" s="451"/>
    </row>
    <row r="805" spans="1:10" x14ac:dyDescent="0.2">
      <c r="A805" s="449"/>
      <c r="B805" s="450"/>
      <c r="C805" s="450"/>
      <c r="D805" s="450"/>
      <c r="E805" s="450"/>
      <c r="F805" s="450"/>
      <c r="G805" s="450"/>
      <c r="H805" s="450"/>
      <c r="I805" s="450"/>
      <c r="J805" s="451"/>
    </row>
    <row r="806" spans="1:10" x14ac:dyDescent="0.2">
      <c r="A806" s="449"/>
      <c r="B806" s="450"/>
      <c r="C806" s="450"/>
      <c r="D806" s="450"/>
      <c r="E806" s="450"/>
      <c r="F806" s="450"/>
      <c r="G806" s="450"/>
      <c r="H806" s="450"/>
      <c r="I806" s="450"/>
      <c r="J806" s="451"/>
    </row>
    <row r="807" spans="1:10" x14ac:dyDescent="0.2">
      <c r="A807" s="449"/>
      <c r="B807" s="450"/>
      <c r="C807" s="450"/>
      <c r="D807" s="450"/>
      <c r="E807" s="450"/>
      <c r="F807" s="450"/>
      <c r="G807" s="450"/>
      <c r="H807" s="450"/>
      <c r="I807" s="450"/>
      <c r="J807" s="451"/>
    </row>
    <row r="808" spans="1:10" x14ac:dyDescent="0.2">
      <c r="A808" s="449"/>
      <c r="B808" s="450"/>
      <c r="C808" s="450"/>
      <c r="D808" s="450"/>
      <c r="E808" s="450"/>
      <c r="F808" s="450"/>
      <c r="G808" s="450"/>
      <c r="H808" s="450"/>
      <c r="I808" s="450"/>
      <c r="J808" s="451"/>
    </row>
    <row r="809" spans="1:10" x14ac:dyDescent="0.2">
      <c r="A809" s="449"/>
      <c r="B809" s="450"/>
      <c r="C809" s="450"/>
      <c r="D809" s="450"/>
      <c r="E809" s="450"/>
      <c r="F809" s="450"/>
      <c r="G809" s="450"/>
      <c r="H809" s="450"/>
      <c r="I809" s="450"/>
      <c r="J809" s="451"/>
    </row>
    <row r="810" spans="1:10" x14ac:dyDescent="0.2">
      <c r="A810" s="449"/>
      <c r="B810" s="450"/>
      <c r="C810" s="450"/>
      <c r="D810" s="450"/>
      <c r="E810" s="450"/>
      <c r="F810" s="450"/>
      <c r="G810" s="450"/>
      <c r="H810" s="450"/>
      <c r="I810" s="450"/>
      <c r="J810" s="451"/>
    </row>
    <row r="811" spans="1:10" x14ac:dyDescent="0.2">
      <c r="A811" s="449"/>
      <c r="B811" s="450"/>
      <c r="C811" s="450"/>
      <c r="D811" s="450"/>
      <c r="E811" s="450"/>
      <c r="F811" s="450"/>
      <c r="G811" s="450"/>
      <c r="H811" s="450"/>
      <c r="I811" s="450"/>
      <c r="J811" s="451"/>
    </row>
    <row r="812" spans="1:10" x14ac:dyDescent="0.2">
      <c r="A812" s="449"/>
      <c r="B812" s="450"/>
      <c r="C812" s="450"/>
      <c r="D812" s="450"/>
      <c r="E812" s="450"/>
      <c r="F812" s="450"/>
      <c r="G812" s="450"/>
      <c r="H812" s="450"/>
      <c r="I812" s="450"/>
      <c r="J812" s="451"/>
    </row>
    <row r="813" spans="1:10" x14ac:dyDescent="0.2">
      <c r="A813" s="449"/>
      <c r="B813" s="450"/>
      <c r="C813" s="450"/>
      <c r="D813" s="450"/>
      <c r="E813" s="450"/>
      <c r="F813" s="450"/>
      <c r="G813" s="450"/>
      <c r="H813" s="450"/>
      <c r="I813" s="450"/>
      <c r="J813" s="451"/>
    </row>
    <row r="814" spans="1:10" x14ac:dyDescent="0.2">
      <c r="A814" s="449"/>
      <c r="B814" s="450"/>
      <c r="C814" s="450"/>
      <c r="D814" s="450"/>
      <c r="E814" s="450"/>
      <c r="F814" s="450"/>
      <c r="G814" s="450"/>
      <c r="H814" s="450"/>
      <c r="I814" s="450"/>
      <c r="J814" s="451"/>
    </row>
    <row r="815" spans="1:10" x14ac:dyDescent="0.2">
      <c r="A815" s="452"/>
      <c r="B815" s="453"/>
      <c r="C815" s="453"/>
      <c r="D815" s="453"/>
      <c r="E815" s="453"/>
      <c r="F815" s="453"/>
      <c r="G815" s="453"/>
      <c r="H815" s="453"/>
      <c r="I815" s="453"/>
      <c r="J815" s="454"/>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A604:D604"/>
    <mergeCell ref="A605:D605"/>
    <mergeCell ref="E605:J605"/>
    <mergeCell ref="E603:J604"/>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A550:D550"/>
    <mergeCell ref="A551:D551"/>
    <mergeCell ref="E551:J551"/>
    <mergeCell ref="E549:J550"/>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A496:D496"/>
    <mergeCell ref="A497:D497"/>
    <mergeCell ref="E497:J497"/>
    <mergeCell ref="E495:J496"/>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A442:D442"/>
    <mergeCell ref="A443:D443"/>
    <mergeCell ref="E443:J443"/>
    <mergeCell ref="E441:J442"/>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1040" yWindow="458"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ColWidth="8.85546875" defaultRowHeight="12.75" x14ac:dyDescent="0.2"/>
  <cols>
    <col min="1" max="1" width="6.42578125" customWidth="1"/>
    <col min="5" max="5" width="7.7109375" customWidth="1"/>
    <col min="6" max="6" width="6.42578125" customWidth="1"/>
    <col min="7" max="7" width="5.7109375" customWidth="1"/>
  </cols>
  <sheetData>
    <row r="1" spans="1:10" s="35" customFormat="1" ht="36" customHeight="1" thickTop="1" thickBot="1" x14ac:dyDescent="0.45">
      <c r="A1" s="503" t="s">
        <v>829</v>
      </c>
      <c r="B1" s="504"/>
      <c r="C1" s="504"/>
      <c r="D1" s="504"/>
      <c r="E1" s="504"/>
      <c r="F1" s="504"/>
      <c r="G1" s="504"/>
      <c r="H1" s="504"/>
      <c r="I1" s="504"/>
      <c r="J1" s="505"/>
    </row>
    <row r="2" spans="1:10" ht="13.5" thickTop="1" x14ac:dyDescent="0.2"/>
    <row r="3" spans="1:10" ht="15.75" x14ac:dyDescent="0.25">
      <c r="A3" s="280" t="s">
        <v>842</v>
      </c>
      <c r="B3" s="281"/>
      <c r="C3" s="281"/>
      <c r="D3" s="281"/>
      <c r="E3" s="281"/>
      <c r="F3" s="281"/>
      <c r="G3" s="281"/>
      <c r="H3" s="508" t="str">
        <f>'CONTACT INFORMATION'!$A$24</f>
        <v>Los Angeles</v>
      </c>
      <c r="I3" s="508"/>
      <c r="J3" s="509"/>
    </row>
    <row r="4" spans="1:10" ht="15.75" x14ac:dyDescent="0.25">
      <c r="A4" s="110"/>
      <c r="B4" s="110"/>
      <c r="C4" s="110"/>
      <c r="D4" s="110"/>
      <c r="E4" s="110"/>
      <c r="F4" s="110"/>
      <c r="G4" s="110"/>
      <c r="H4" s="132"/>
      <c r="I4" s="132"/>
      <c r="J4" s="132"/>
    </row>
    <row r="5" spans="1:10" ht="15.75" x14ac:dyDescent="0.25">
      <c r="A5" s="43"/>
      <c r="B5" s="43"/>
      <c r="C5" s="43"/>
      <c r="D5" s="43"/>
      <c r="E5" s="43"/>
      <c r="F5" s="43"/>
      <c r="G5" s="43"/>
      <c r="H5" s="43"/>
      <c r="I5" s="43"/>
      <c r="J5" s="43"/>
    </row>
    <row r="6" spans="1:10" ht="74.099999999999994" customHeight="1" x14ac:dyDescent="0.2">
      <c r="A6" s="506" t="s">
        <v>875</v>
      </c>
      <c r="B6" s="507"/>
      <c r="C6" s="507"/>
      <c r="D6" s="507"/>
      <c r="E6" s="507"/>
      <c r="F6" s="507"/>
      <c r="G6" s="507"/>
      <c r="H6" s="507"/>
      <c r="I6" s="507"/>
      <c r="J6" s="507"/>
    </row>
    <row r="9" spans="1:10" ht="22.5" customHeight="1" x14ac:dyDescent="0.25">
      <c r="A9" s="497" t="s">
        <v>828</v>
      </c>
      <c r="B9" s="497"/>
      <c r="C9" s="498"/>
      <c r="D9" s="98" t="s">
        <v>826</v>
      </c>
      <c r="G9" s="497" t="s">
        <v>815</v>
      </c>
      <c r="H9" s="497"/>
      <c r="I9" s="498"/>
      <c r="J9" s="98" t="s">
        <v>826</v>
      </c>
    </row>
    <row r="10" spans="1:10" ht="15" x14ac:dyDescent="0.25">
      <c r="A10" s="426" t="s">
        <v>846</v>
      </c>
      <c r="B10" s="426"/>
      <c r="C10" s="502"/>
      <c r="D10" s="133">
        <f>'REPORT 1'!$I$16</f>
        <v>4188</v>
      </c>
      <c r="E10" s="73"/>
      <c r="G10" s="426" t="s">
        <v>846</v>
      </c>
      <c r="H10" s="426"/>
      <c r="I10" s="502"/>
      <c r="J10" s="133">
        <f>'REPORT 1'!$I$27</f>
        <v>4188</v>
      </c>
    </row>
    <row r="12" spans="1:10" ht="15.75" x14ac:dyDescent="0.25">
      <c r="A12" s="43"/>
      <c r="B12" s="43"/>
      <c r="C12" s="43"/>
      <c r="D12" s="43"/>
      <c r="E12" s="43"/>
      <c r="F12" s="43"/>
      <c r="G12" s="43"/>
      <c r="H12" s="43"/>
      <c r="I12" s="43"/>
      <c r="J12" s="43"/>
    </row>
    <row r="13" spans="1:10" ht="74.099999999999994" customHeight="1" x14ac:dyDescent="0.2">
      <c r="A13" s="506" t="s">
        <v>874</v>
      </c>
      <c r="B13" s="507"/>
      <c r="C13" s="507"/>
      <c r="D13" s="507"/>
      <c r="E13" s="507"/>
      <c r="F13" s="507"/>
      <c r="G13" s="507"/>
      <c r="H13" s="507"/>
      <c r="I13" s="507"/>
      <c r="J13" s="507"/>
    </row>
    <row r="16" spans="1:10" ht="22.5" customHeight="1" x14ac:dyDescent="0.25">
      <c r="A16" s="497" t="s">
        <v>823</v>
      </c>
      <c r="B16" s="497"/>
      <c r="C16" s="498"/>
      <c r="D16" s="98" t="s">
        <v>826</v>
      </c>
      <c r="G16" s="497" t="s">
        <v>828</v>
      </c>
      <c r="H16" s="497"/>
      <c r="I16" s="498"/>
      <c r="J16" s="98" t="s">
        <v>826</v>
      </c>
    </row>
    <row r="17" spans="1:10" ht="15" x14ac:dyDescent="0.25">
      <c r="D17" s="133">
        <f>'REPORT 3'!$J$9</f>
        <v>2737</v>
      </c>
      <c r="G17" s="495" t="s">
        <v>846</v>
      </c>
      <c r="H17" s="495"/>
      <c r="I17" s="496"/>
      <c r="J17" s="133">
        <f>'REPORT 3'!$J$34</f>
        <v>2737</v>
      </c>
    </row>
    <row r="18" spans="1:10" ht="14.25" x14ac:dyDescent="0.2">
      <c r="A18" s="82"/>
      <c r="B18" s="82"/>
      <c r="C18" s="82"/>
    </row>
    <row r="19" spans="1:10" ht="14.25" x14ac:dyDescent="0.2">
      <c r="A19" s="82"/>
      <c r="B19" s="82"/>
      <c r="C19" s="82"/>
    </row>
    <row r="20" spans="1:10" ht="22.5" customHeight="1" x14ac:dyDescent="0.25">
      <c r="A20" s="497" t="s">
        <v>825</v>
      </c>
      <c r="B20" s="497"/>
      <c r="C20" s="498"/>
      <c r="D20" s="98" t="s">
        <v>826</v>
      </c>
      <c r="G20" s="497" t="s">
        <v>815</v>
      </c>
      <c r="H20" s="497"/>
      <c r="I20" s="498"/>
      <c r="J20" s="98" t="s">
        <v>826</v>
      </c>
    </row>
    <row r="21" spans="1:10" ht="15" x14ac:dyDescent="0.25">
      <c r="A21" s="426"/>
      <c r="B21" s="426"/>
      <c r="C21" s="502"/>
      <c r="D21" s="133">
        <f>'REPORT 3'!$J$26</f>
        <v>2446</v>
      </c>
      <c r="G21" s="495" t="s">
        <v>846</v>
      </c>
      <c r="H21" s="495"/>
      <c r="I21" s="496"/>
      <c r="J21" s="133">
        <f>'REPORT 3'!$J$44</f>
        <v>2737</v>
      </c>
    </row>
    <row r="22" spans="1:10" ht="14.25" x14ac:dyDescent="0.2">
      <c r="A22" s="82"/>
      <c r="B22" s="82"/>
      <c r="C22" s="82"/>
    </row>
    <row r="24" spans="1:10" ht="70.5" customHeight="1" x14ac:dyDescent="0.2">
      <c r="A24" s="500" t="s">
        <v>876</v>
      </c>
      <c r="B24" s="501"/>
      <c r="C24" s="501"/>
      <c r="D24" s="501"/>
      <c r="E24" s="501"/>
      <c r="F24" s="501"/>
      <c r="G24" s="501"/>
      <c r="H24" s="501"/>
      <c r="I24" s="501"/>
      <c r="J24" s="501"/>
    </row>
    <row r="27" spans="1:10" ht="22.5" customHeight="1" x14ac:dyDescent="0.25">
      <c r="A27" s="499" t="s">
        <v>869</v>
      </c>
      <c r="B27" s="426"/>
      <c r="C27" s="426"/>
      <c r="D27" s="131" t="s">
        <v>826</v>
      </c>
      <c r="G27" s="497" t="s">
        <v>828</v>
      </c>
      <c r="H27" s="497"/>
      <c r="I27" s="498"/>
      <c r="J27" s="131" t="s">
        <v>826</v>
      </c>
    </row>
    <row r="28" spans="1:10" ht="15" customHeight="1" x14ac:dyDescent="0.25">
      <c r="D28" s="133">
        <f>'ARREST REPORT'!$G$12</f>
        <v>2756</v>
      </c>
      <c r="G28" s="495" t="s">
        <v>846</v>
      </c>
      <c r="H28" s="495"/>
      <c r="I28" s="496"/>
      <c r="J28" s="133">
        <f>'ARREST REPORT'!$G$18</f>
        <v>2737</v>
      </c>
    </row>
    <row r="31" spans="1:10" ht="15" x14ac:dyDescent="0.25">
      <c r="G31" s="497" t="s">
        <v>815</v>
      </c>
      <c r="H31" s="497"/>
      <c r="I31" s="498"/>
      <c r="J31" s="131" t="s">
        <v>826</v>
      </c>
    </row>
    <row r="32" spans="1:10" ht="15" x14ac:dyDescent="0.25">
      <c r="G32" s="495" t="s">
        <v>846</v>
      </c>
      <c r="H32" s="495"/>
      <c r="I32" s="496"/>
      <c r="J32" s="133">
        <f>'ARREST REPORT'!$G$26</f>
        <v>2737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ColWidth="8.85546875" defaultRowHeight="14.25" x14ac:dyDescent="0.2"/>
  <cols>
    <col min="1" max="1" width="36.140625" style="82" customWidth="1"/>
  </cols>
  <sheetData>
    <row r="1" spans="1:1" x14ac:dyDescent="0.2">
      <c r="A1" s="82" t="s">
        <v>468</v>
      </c>
    </row>
    <row r="2" spans="1:1" x14ac:dyDescent="0.2">
      <c r="A2" s="82" t="s">
        <v>469</v>
      </c>
    </row>
    <row r="3" spans="1:1" x14ac:dyDescent="0.2">
      <c r="A3" s="82" t="s">
        <v>470</v>
      </c>
    </row>
    <row r="4" spans="1:1" x14ac:dyDescent="0.2">
      <c r="A4" s="82" t="s">
        <v>471</v>
      </c>
    </row>
    <row r="5" spans="1:1" x14ac:dyDescent="0.2">
      <c r="A5" s="82" t="s">
        <v>472</v>
      </c>
    </row>
    <row r="6" spans="1:1" x14ac:dyDescent="0.2">
      <c r="A6" s="82" t="s">
        <v>473</v>
      </c>
    </row>
    <row r="7" spans="1:1" x14ac:dyDescent="0.2">
      <c r="A7" s="82" t="s">
        <v>474</v>
      </c>
    </row>
    <row r="8" spans="1:1" x14ac:dyDescent="0.2">
      <c r="A8" s="82" t="s">
        <v>536</v>
      </c>
    </row>
    <row r="9" spans="1:1" x14ac:dyDescent="0.2">
      <c r="A9" s="82" t="s">
        <v>475</v>
      </c>
    </row>
    <row r="10" spans="1:1" x14ac:dyDescent="0.2">
      <c r="A10" s="82" t="s">
        <v>476</v>
      </c>
    </row>
    <row r="11" spans="1:1" x14ac:dyDescent="0.2">
      <c r="A11" s="82" t="s">
        <v>477</v>
      </c>
    </row>
    <row r="12" spans="1:1" x14ac:dyDescent="0.2">
      <c r="A12" s="82" t="s">
        <v>478</v>
      </c>
    </row>
    <row r="13" spans="1:1" x14ac:dyDescent="0.2">
      <c r="A13" s="82" t="s">
        <v>479</v>
      </c>
    </row>
    <row r="14" spans="1:1" x14ac:dyDescent="0.2">
      <c r="A14" s="82" t="s">
        <v>480</v>
      </c>
    </row>
    <row r="15" spans="1:1" x14ac:dyDescent="0.2">
      <c r="A15" s="82" t="s">
        <v>481</v>
      </c>
    </row>
    <row r="16" spans="1:1" x14ac:dyDescent="0.2">
      <c r="A16" s="82" t="s">
        <v>482</v>
      </c>
    </row>
    <row r="17" spans="1:1" x14ac:dyDescent="0.2">
      <c r="A17" s="82" t="s">
        <v>483</v>
      </c>
    </row>
    <row r="18" spans="1:1" x14ac:dyDescent="0.2">
      <c r="A18" s="82" t="s">
        <v>484</v>
      </c>
    </row>
    <row r="19" spans="1:1" x14ac:dyDescent="0.2">
      <c r="A19" s="82" t="s">
        <v>485</v>
      </c>
    </row>
    <row r="20" spans="1:1" x14ac:dyDescent="0.2">
      <c r="A20" s="82" t="s">
        <v>486</v>
      </c>
    </row>
    <row r="21" spans="1:1" x14ac:dyDescent="0.2">
      <c r="A21" s="82" t="s">
        <v>487</v>
      </c>
    </row>
    <row r="22" spans="1:1" x14ac:dyDescent="0.2">
      <c r="A22" s="82" t="s">
        <v>488</v>
      </c>
    </row>
    <row r="23" spans="1:1" x14ac:dyDescent="0.2">
      <c r="A23" s="82" t="s">
        <v>489</v>
      </c>
    </row>
    <row r="24" spans="1:1" x14ac:dyDescent="0.2">
      <c r="A24" s="82" t="s">
        <v>490</v>
      </c>
    </row>
    <row r="25" spans="1:1" x14ac:dyDescent="0.2">
      <c r="A25" s="82" t="s">
        <v>491</v>
      </c>
    </row>
    <row r="26" spans="1:1" x14ac:dyDescent="0.2">
      <c r="A26" s="82" t="s">
        <v>492</v>
      </c>
    </row>
    <row r="27" spans="1:1" x14ac:dyDescent="0.2">
      <c r="A27" s="82" t="s">
        <v>493</v>
      </c>
    </row>
    <row r="28" spans="1:1" x14ac:dyDescent="0.2">
      <c r="A28" s="82" t="s">
        <v>494</v>
      </c>
    </row>
    <row r="29" spans="1:1" x14ac:dyDescent="0.2">
      <c r="A29" s="82" t="s">
        <v>495</v>
      </c>
    </row>
    <row r="30" spans="1:1" x14ac:dyDescent="0.2">
      <c r="A30" s="82" t="s">
        <v>496</v>
      </c>
    </row>
    <row r="31" spans="1:1" x14ac:dyDescent="0.2">
      <c r="A31" s="82" t="s">
        <v>497</v>
      </c>
    </row>
    <row r="32" spans="1:1" x14ac:dyDescent="0.2">
      <c r="A32" s="82" t="s">
        <v>498</v>
      </c>
    </row>
    <row r="33" spans="1:1" x14ac:dyDescent="0.2">
      <c r="A33" s="82" t="s">
        <v>499</v>
      </c>
    </row>
    <row r="34" spans="1:1" x14ac:dyDescent="0.2">
      <c r="A34" s="82" t="s">
        <v>326</v>
      </c>
    </row>
    <row r="35" spans="1:1" x14ac:dyDescent="0.2">
      <c r="A35" s="82" t="s">
        <v>500</v>
      </c>
    </row>
    <row r="36" spans="1:1" x14ac:dyDescent="0.2">
      <c r="A36" s="82" t="s">
        <v>501</v>
      </c>
    </row>
    <row r="37" spans="1:1" x14ac:dyDescent="0.2">
      <c r="A37" s="82" t="s">
        <v>502</v>
      </c>
    </row>
    <row r="38" spans="1:1" x14ac:dyDescent="0.2">
      <c r="A38" s="82" t="s">
        <v>503</v>
      </c>
    </row>
    <row r="39" spans="1:1" x14ac:dyDescent="0.2">
      <c r="A39" s="82" t="s">
        <v>504</v>
      </c>
    </row>
    <row r="40" spans="1:1" x14ac:dyDescent="0.2">
      <c r="A40" s="82" t="s">
        <v>516</v>
      </c>
    </row>
    <row r="41" spans="1:1" x14ac:dyDescent="0.2">
      <c r="A41" s="82" t="s">
        <v>505</v>
      </c>
    </row>
    <row r="42" spans="1:1" x14ac:dyDescent="0.2">
      <c r="A42" s="82" t="s">
        <v>506</v>
      </c>
    </row>
    <row r="43" spans="1:1" x14ac:dyDescent="0.2">
      <c r="A43" s="82" t="s">
        <v>517</v>
      </c>
    </row>
    <row r="44" spans="1:1" x14ac:dyDescent="0.2">
      <c r="A44" s="82" t="s">
        <v>507</v>
      </c>
    </row>
    <row r="45" spans="1:1" x14ac:dyDescent="0.2">
      <c r="A45" s="82" t="s">
        <v>513</v>
      </c>
    </row>
    <row r="46" spans="1:1" x14ac:dyDescent="0.2">
      <c r="A46" s="82" t="s">
        <v>508</v>
      </c>
    </row>
    <row r="47" spans="1:1" x14ac:dyDescent="0.2">
      <c r="A47" s="82" t="s">
        <v>509</v>
      </c>
    </row>
    <row r="48" spans="1:1" x14ac:dyDescent="0.2">
      <c r="A48" s="82" t="s">
        <v>510</v>
      </c>
    </row>
    <row r="49" spans="1:1" x14ac:dyDescent="0.2">
      <c r="A49" s="82" t="s">
        <v>511</v>
      </c>
    </row>
    <row r="50" spans="1:1" x14ac:dyDescent="0.2">
      <c r="A50" s="82" t="s">
        <v>834</v>
      </c>
    </row>
  </sheetData>
  <sheetProtection selectLockedCells="1" selectUnlockedCells="1"/>
  <pageMargins left="0.7" right="0.7" top="0.75" bottom="0.75" header="0.3" footer="0.3"/>
  <pageSetup orientation="portrait" r:id="rId1"/>
</worksheet>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JFA</cp:lastModifiedBy>
  <cp:lastPrinted>2022-09-29T22:01:19Z</cp:lastPrinted>
  <dcterms:created xsi:type="dcterms:W3CDTF">2010-06-09T19:05:00Z</dcterms:created>
  <dcterms:modified xsi:type="dcterms:W3CDTF">2022-09-30T18:30:09Z</dcterms:modified>
</cp:coreProperties>
</file>